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norduniversitet-my.sharepoint.com/personal/per_a_skjelvik_nord_no/Documents/0_NORD/2023/TDI/"/>
    </mc:Choice>
  </mc:AlternateContent>
  <xr:revisionPtr revIDLastSave="12" documentId="8_{23E49BB0-F232-4009-94B7-05828930334C}" xr6:coauthVersionLast="47" xr6:coauthVersionMax="47" xr10:uidLastSave="{55DABE63-C1FA-4D18-9A3F-BC78F2BBAC40}"/>
  <bookViews>
    <workbookView xWindow="-110" yWindow="-110" windowWidth="38620" windowHeight="21220" xr2:uid="{00000000-000D-0000-FFFF-FFFF00000000}"/>
  </bookViews>
  <sheets>
    <sheet name="Inndata" sheetId="6" r:id="rId1"/>
    <sheet name="Kostnadsfordeling" sheetId="19" r:id="rId2"/>
    <sheet name="Satser" sheetId="20" r:id="rId3"/>
    <sheet name="Oppsummering" sheetId="4" r:id="rId4"/>
    <sheet name="Oppsummering grafisk" sheetId="21" r:id="rId5"/>
    <sheet name="Dokumentasjon" sheetId="2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7" i="6" l="1"/>
  <c r="B54" i="19" l="1"/>
  <c r="A6" i="4"/>
  <c r="D4" i="20"/>
  <c r="C4" i="20"/>
  <c r="A4" i="21"/>
  <c r="B32" i="6" l="1"/>
  <c r="C17" i="6"/>
  <c r="B17" i="6"/>
  <c r="A3" i="20" l="1"/>
  <c r="A4" i="19"/>
  <c r="A3" i="19"/>
  <c r="N74" i="19" l="1"/>
  <c r="F32" i="6"/>
  <c r="D17" i="6"/>
  <c r="G32" i="6"/>
  <c r="A3" i="21"/>
  <c r="A3" i="4"/>
  <c r="B31" i="6"/>
  <c r="B33" i="6" s="1"/>
  <c r="N75" i="19" l="1"/>
  <c r="D32" i="6"/>
  <c r="D31" i="6"/>
  <c r="G31" i="6"/>
  <c r="N76" i="19" l="1"/>
  <c r="F31" i="6"/>
  <c r="D5" i="6" l="1"/>
  <c r="C5" i="6"/>
  <c r="D19" i="6"/>
  <c r="C27" i="6" l="1"/>
  <c r="B57" i="6"/>
  <c r="B101" i="6" s="1"/>
  <c r="D101" i="6" s="1"/>
  <c r="C88" i="6"/>
  <c r="B89" i="6"/>
  <c r="D13" i="6"/>
  <c r="C20" i="6" l="1"/>
  <c r="C23" i="6" s="1"/>
  <c r="C93" i="6" l="1"/>
  <c r="C92" i="6"/>
  <c r="C91" i="6"/>
  <c r="C87" i="6"/>
  <c r="C86" i="6"/>
  <c r="G28" i="6" l="1"/>
  <c r="G29" i="6"/>
  <c r="G30" i="6"/>
  <c r="F28" i="6"/>
  <c r="F29" i="6"/>
  <c r="F30" i="6"/>
  <c r="F27" i="6"/>
  <c r="D28" i="6"/>
  <c r="D29" i="6"/>
  <c r="D30" i="6"/>
  <c r="D15" i="6"/>
  <c r="D12" i="6"/>
  <c r="O30" i="19"/>
  <c r="E13" i="6" l="1"/>
  <c r="C74" i="6"/>
  <c r="B20" i="6"/>
  <c r="D20" i="6" s="1"/>
  <c r="B22" i="6" s="1"/>
  <c r="D18" i="19" l="1"/>
  <c r="D19" i="19" s="1"/>
  <c r="O29" i="19"/>
  <c r="O28" i="19"/>
  <c r="O23" i="19"/>
  <c r="D21" i="19" l="1"/>
  <c r="D22" i="19" s="1"/>
  <c r="D31" i="19"/>
  <c r="D32" i="19" s="1"/>
  <c r="D11" i="19"/>
  <c r="D12" i="19" s="1"/>
  <c r="D15" i="19"/>
  <c r="D16" i="19" s="1"/>
  <c r="D65" i="6"/>
  <c r="B60" i="6" l="1"/>
  <c r="B104" i="6" s="1"/>
  <c r="E104" i="6" s="1"/>
  <c r="B17" i="19" s="1"/>
  <c r="E17" i="19" s="1"/>
  <c r="H17" i="19" s="1"/>
  <c r="G65" i="6"/>
  <c r="F65" i="6"/>
  <c r="B59" i="6"/>
  <c r="B103" i="6" s="1"/>
  <c r="E103" i="6" s="1"/>
  <c r="B15" i="19" s="1"/>
  <c r="B61" i="6"/>
  <c r="B105" i="6" s="1"/>
  <c r="E105" i="6" s="1"/>
  <c r="B18" i="19" s="1"/>
  <c r="B63" i="6"/>
  <c r="B107" i="6" s="1"/>
  <c r="B58" i="6"/>
  <c r="B102" i="6" s="1"/>
  <c r="E102" i="6" s="1"/>
  <c r="B11" i="19" s="1"/>
  <c r="E12" i="19" s="1"/>
  <c r="B62" i="6"/>
  <c r="B106" i="6" s="1"/>
  <c r="E106" i="6" s="1"/>
  <c r="B21" i="19" s="1"/>
  <c r="B56" i="6"/>
  <c r="B100" i="6" s="1"/>
  <c r="B64" i="6"/>
  <c r="B108" i="6" s="1"/>
  <c r="E108" i="6" s="1"/>
  <c r="B31" i="19" s="1"/>
  <c r="E65" i="6"/>
  <c r="C65" i="6"/>
  <c r="B6" i="20"/>
  <c r="C109" i="6"/>
  <c r="B30" i="20"/>
  <c r="N70" i="19" s="1"/>
  <c r="B70" i="19" l="1"/>
  <c r="B77" i="19" s="1"/>
  <c r="C70" i="19"/>
  <c r="C77" i="19" s="1"/>
  <c r="D70" i="19"/>
  <c r="D77" i="19" s="1"/>
  <c r="E31" i="19"/>
  <c r="Q31" i="19" s="1"/>
  <c r="E32" i="19"/>
  <c r="E21" i="19"/>
  <c r="Q21" i="19" s="1"/>
  <c r="E22" i="19"/>
  <c r="H22" i="19" s="1"/>
  <c r="E18" i="19"/>
  <c r="Q18" i="19" s="1"/>
  <c r="E19" i="19"/>
  <c r="E15" i="19"/>
  <c r="Q15" i="19" s="1"/>
  <c r="E16" i="19"/>
  <c r="H16" i="19" s="1"/>
  <c r="E11" i="19"/>
  <c r="Q11" i="19" s="1"/>
  <c r="C6" i="20"/>
  <c r="B6" i="4" s="1"/>
  <c r="B55" i="19" s="1"/>
  <c r="B13" i="20"/>
  <c r="B21" i="20" s="1"/>
  <c r="B28" i="20" s="1"/>
  <c r="B34" i="20" s="1"/>
  <c r="D22" i="6"/>
  <c r="D23" i="6" s="1"/>
  <c r="B23" i="6"/>
  <c r="C30" i="20"/>
  <c r="D30" i="20" s="1"/>
  <c r="E39" i="4"/>
  <c r="B65" i="6"/>
  <c r="B109" i="6"/>
  <c r="C77" i="6"/>
  <c r="D77" i="6" s="1"/>
  <c r="D74" i="6"/>
  <c r="L63" i="19" l="1"/>
  <c r="D59" i="19"/>
  <c r="J63" i="19"/>
  <c r="C59" i="19"/>
  <c r="C60" i="19" s="1"/>
  <c r="C61" i="19" s="1"/>
  <c r="I63" i="19"/>
  <c r="B59" i="19"/>
  <c r="B60" i="19" s="1"/>
  <c r="B61" i="19" s="1"/>
  <c r="I62" i="19"/>
  <c r="H62" i="19"/>
  <c r="G60" i="19"/>
  <c r="F63" i="19"/>
  <c r="G63" i="19"/>
  <c r="E28" i="4"/>
  <c r="B14" i="4"/>
  <c r="F31" i="4"/>
  <c r="E27" i="4"/>
  <c r="B13" i="4"/>
  <c r="F29" i="4"/>
  <c r="C26" i="4"/>
  <c r="B12" i="4"/>
  <c r="B11" i="4"/>
  <c r="F26" i="4"/>
  <c r="B10" i="4"/>
  <c r="F25" i="4"/>
  <c r="B30" i="4"/>
  <c r="B9" i="4"/>
  <c r="B29" i="4"/>
  <c r="B8" i="4"/>
  <c r="C8" i="4" s="1"/>
  <c r="B28" i="4"/>
  <c r="F28" i="4"/>
  <c r="Q41" i="19"/>
  <c r="B35" i="20" s="1"/>
  <c r="B94" i="6"/>
  <c r="B95" i="6" s="1"/>
  <c r="B97" i="6" s="1"/>
  <c r="C89" i="6"/>
  <c r="C13" i="20"/>
  <c r="C21" i="20" s="1"/>
  <c r="C28" i="20" s="1"/>
  <c r="C34" i="20" s="1"/>
  <c r="D6" i="20"/>
  <c r="D13" i="20" s="1"/>
  <c r="D21" i="20" s="1"/>
  <c r="D28" i="20" s="1"/>
  <c r="D34" i="20" s="1"/>
  <c r="D100" i="6"/>
  <c r="C52" i="6"/>
  <c r="C46" i="6"/>
  <c r="C47" i="6"/>
  <c r="C48" i="6"/>
  <c r="C9" i="4" l="1"/>
  <c r="M63" i="19"/>
  <c r="F32" i="4"/>
  <c r="F41" i="21" s="1"/>
  <c r="D52" i="6"/>
  <c r="E52" i="6" s="1"/>
  <c r="C35" i="20"/>
  <c r="E100" i="6"/>
  <c r="B8" i="19" s="1"/>
  <c r="E8" i="19" s="1"/>
  <c r="C94" i="6"/>
  <c r="F38" i="4" l="1"/>
  <c r="B20" i="4"/>
  <c r="D35" i="20"/>
  <c r="C95" i="6"/>
  <c r="C97" i="6" s="1"/>
  <c r="G20" i="19"/>
  <c r="H20" i="19" s="1"/>
  <c r="B81" i="6"/>
  <c r="B83" i="6" s="1"/>
  <c r="G19" i="19" l="1"/>
  <c r="H19" i="19" s="1"/>
  <c r="B82" i="6"/>
  <c r="E93" i="6" l="1"/>
  <c r="E88" i="6"/>
  <c r="E92" i="6"/>
  <c r="E86" i="6"/>
  <c r="E94" i="6"/>
  <c r="D27" i="6"/>
  <c r="G27" i="6"/>
  <c r="G33" i="6" s="1"/>
  <c r="C33" i="6"/>
  <c r="E91" i="6"/>
  <c r="E87" i="6"/>
  <c r="D109" i="6" l="1"/>
  <c r="E89" i="6"/>
  <c r="E95" i="6"/>
  <c r="Q22" i="19"/>
  <c r="Q16" i="19"/>
  <c r="Q17" i="19"/>
  <c r="H70" i="19" l="1"/>
  <c r="H77" i="19" s="1"/>
  <c r="F94" i="6"/>
  <c r="G28" i="19" s="1"/>
  <c r="F92" i="6"/>
  <c r="G24" i="19" s="1"/>
  <c r="F93" i="6"/>
  <c r="G25" i="19" s="1"/>
  <c r="F91" i="6"/>
  <c r="G26" i="4"/>
  <c r="G29" i="4"/>
  <c r="G27" i="4"/>
  <c r="Q19" i="19"/>
  <c r="Q20" i="19"/>
  <c r="I70" i="19" l="1"/>
  <c r="I77" i="19" s="1"/>
  <c r="G28" i="4"/>
  <c r="F95" i="6"/>
  <c r="E97" i="6"/>
  <c r="E107" i="6"/>
  <c r="E109" i="6" s="1"/>
  <c r="C13" i="4" l="1"/>
  <c r="C14" i="4"/>
  <c r="C12" i="4"/>
  <c r="G23" i="19"/>
  <c r="C10" i="4"/>
  <c r="C11" i="4"/>
  <c r="B23" i="19"/>
  <c r="E23" i="19" s="1"/>
  <c r="E35" i="19" l="1"/>
  <c r="H25" i="19"/>
  <c r="H24" i="19"/>
  <c r="Q24" i="19" s="1"/>
  <c r="H28" i="19"/>
  <c r="H23" i="19"/>
  <c r="B35" i="19"/>
  <c r="F33" i="6" l="1"/>
  <c r="D33" i="6" l="1"/>
  <c r="D36" i="6"/>
  <c r="B15" i="20" s="1"/>
  <c r="N68" i="19" s="1"/>
  <c r="G68" i="19" s="1"/>
  <c r="G75" i="19" s="1"/>
  <c r="E33" i="6" l="1"/>
  <c r="D35" i="6" s="1"/>
  <c r="J14" i="19" s="1"/>
  <c r="J13" i="19" s="1"/>
  <c r="D37" i="6"/>
  <c r="D38" i="6" s="1"/>
  <c r="D47" i="6" s="1"/>
  <c r="C15" i="20"/>
  <c r="D15" i="20" s="1"/>
  <c r="C39" i="4"/>
  <c r="E47" i="6" l="1"/>
  <c r="J25" i="19" s="1"/>
  <c r="J34" i="19"/>
  <c r="J33" i="19" s="1"/>
  <c r="M30" i="19"/>
  <c r="M29" i="19" s="1"/>
  <c r="M27" i="19"/>
  <c r="J10" i="19"/>
  <c r="J9" i="19" s="1"/>
  <c r="B23" i="20"/>
  <c r="D46" i="6"/>
  <c r="E46" i="6" s="1"/>
  <c r="D48" i="6"/>
  <c r="E48" i="6" s="1"/>
  <c r="C23" i="20" l="1"/>
  <c r="D23" i="20" s="1"/>
  <c r="N69" i="19"/>
  <c r="J26" i="19"/>
  <c r="K26" i="19" s="1"/>
  <c r="N27" i="19" s="1"/>
  <c r="Q27" i="19" s="1"/>
  <c r="K25" i="19"/>
  <c r="Q25" i="19" s="1"/>
  <c r="G12" i="19"/>
  <c r="H12" i="19" s="1"/>
  <c r="M26" i="19"/>
  <c r="J28" i="19"/>
  <c r="J29" i="19" s="1"/>
  <c r="G8" i="19"/>
  <c r="H8" i="19" s="1"/>
  <c r="D39" i="4"/>
  <c r="G13" i="19" l="1"/>
  <c r="H13" i="19" s="1"/>
  <c r="K14" i="19" s="1"/>
  <c r="Q14" i="19" s="1"/>
  <c r="N26" i="19"/>
  <c r="Q26" i="19" s="1"/>
  <c r="G32" i="19"/>
  <c r="H32" i="19" s="1"/>
  <c r="G9" i="19"/>
  <c r="H9" i="19" s="1"/>
  <c r="Q12" i="19"/>
  <c r="F62" i="19" l="1"/>
  <c r="F70" i="19" s="1"/>
  <c r="F77" i="19" s="1"/>
  <c r="E25" i="4"/>
  <c r="F60" i="19"/>
  <c r="F68" i="19" s="1"/>
  <c r="F75" i="19" s="1"/>
  <c r="C25" i="4"/>
  <c r="K13" i="19"/>
  <c r="Q13" i="19" s="1"/>
  <c r="G33" i="19"/>
  <c r="H33" i="19" s="1"/>
  <c r="H35" i="19" s="1"/>
  <c r="Q32" i="19"/>
  <c r="K10" i="19"/>
  <c r="Q10" i="19" s="1"/>
  <c r="F61" i="19" l="1"/>
  <c r="F69" i="19" s="1"/>
  <c r="F76" i="19" s="1"/>
  <c r="D25" i="4"/>
  <c r="G25" i="4" s="1"/>
  <c r="E60" i="19"/>
  <c r="E68" i="19" s="1"/>
  <c r="E75" i="19" s="1"/>
  <c r="C24" i="4"/>
  <c r="L62" i="19"/>
  <c r="L70" i="19" s="1"/>
  <c r="L77" i="19" s="1"/>
  <c r="E31" i="4"/>
  <c r="K9" i="19"/>
  <c r="Q9" i="19" s="1"/>
  <c r="K33" i="19"/>
  <c r="Q33" i="19" s="1"/>
  <c r="Q8" i="19"/>
  <c r="L61" i="19" l="1"/>
  <c r="L69" i="19" s="1"/>
  <c r="L76" i="19" s="1"/>
  <c r="D31" i="4"/>
  <c r="E62" i="19"/>
  <c r="E70" i="19" s="1"/>
  <c r="E77" i="19" s="1"/>
  <c r="E24" i="4"/>
  <c r="E61" i="19"/>
  <c r="E69" i="19" s="1"/>
  <c r="E76" i="19" s="1"/>
  <c r="D24" i="4"/>
  <c r="K34" i="19"/>
  <c r="Q34" i="19" s="1"/>
  <c r="L60" i="19" l="1"/>
  <c r="L68" i="19" s="1"/>
  <c r="L75" i="19" s="1"/>
  <c r="C31" i="4"/>
  <c r="G31" i="4" s="1"/>
  <c r="G24" i="4"/>
  <c r="K28" i="19"/>
  <c r="K29" i="19"/>
  <c r="Q23" i="19"/>
  <c r="Q37" i="19" s="1"/>
  <c r="B7" i="20" l="1"/>
  <c r="B32" i="4"/>
  <c r="B41" i="21" s="1"/>
  <c r="K35" i="19"/>
  <c r="N30" i="19"/>
  <c r="N29" i="19"/>
  <c r="Q28" i="19"/>
  <c r="Q40" i="19" l="1"/>
  <c r="E30" i="4"/>
  <c r="K62" i="19"/>
  <c r="B38" i="4"/>
  <c r="B29" i="20"/>
  <c r="D60" i="19"/>
  <c r="M59" i="19"/>
  <c r="E32" i="4"/>
  <c r="E41" i="21" s="1"/>
  <c r="B16" i="4"/>
  <c r="N35" i="19"/>
  <c r="Q30" i="19"/>
  <c r="Q29" i="19"/>
  <c r="D30" i="4" l="1"/>
  <c r="D32" i="4" s="1"/>
  <c r="D41" i="21" s="1"/>
  <c r="K61" i="19"/>
  <c r="Q38" i="19"/>
  <c r="C30" i="4"/>
  <c r="K60" i="19"/>
  <c r="K68" i="19" s="1"/>
  <c r="K75" i="19" s="1"/>
  <c r="E38" i="4"/>
  <c r="B14" i="20"/>
  <c r="M62" i="19"/>
  <c r="K70" i="19"/>
  <c r="K77" i="19" s="1"/>
  <c r="M77" i="19" s="1"/>
  <c r="K69" i="19"/>
  <c r="K76" i="19" s="1"/>
  <c r="Q39" i="19"/>
  <c r="D61" i="19"/>
  <c r="Q35" i="19"/>
  <c r="E40" i="4"/>
  <c r="F80" i="21" s="1"/>
  <c r="D38" i="4" l="1"/>
  <c r="B22" i="20"/>
  <c r="B39" i="20" s="1"/>
  <c r="M60" i="19"/>
  <c r="M70" i="19"/>
  <c r="M61" i="19"/>
  <c r="Q42" i="19"/>
  <c r="P39" i="19" s="1"/>
  <c r="C32" i="4"/>
  <c r="C41" i="21" s="1"/>
  <c r="G30" i="4"/>
  <c r="B19" i="4"/>
  <c r="D40" i="4"/>
  <c r="B31" i="20"/>
  <c r="C29" i="20"/>
  <c r="C38" i="4" l="1"/>
  <c r="G32" i="4"/>
  <c r="F33" i="4" s="1"/>
  <c r="F40" i="21" s="1"/>
  <c r="M64" i="19"/>
  <c r="B32" i="20"/>
  <c r="P42" i="19"/>
  <c r="P41" i="19"/>
  <c r="P37" i="19"/>
  <c r="P40" i="19"/>
  <c r="P38" i="19"/>
  <c r="D29" i="20"/>
  <c r="C31" i="20"/>
  <c r="C32" i="20" s="1"/>
  <c r="B18" i="4"/>
  <c r="B17" i="4"/>
  <c r="C40" i="4"/>
  <c r="C7" i="20"/>
  <c r="B16" i="20"/>
  <c r="C14" i="20"/>
  <c r="D14" i="20" s="1"/>
  <c r="C22" i="20"/>
  <c r="D22" i="20" s="1"/>
  <c r="E41" i="4" l="1"/>
  <c r="F121" i="21" s="1"/>
  <c r="C39" i="20"/>
  <c r="D31" i="20"/>
  <c r="D32" i="20" s="1"/>
  <c r="D7" i="20"/>
  <c r="D39" i="20" s="1"/>
  <c r="C24" i="20"/>
  <c r="D24" i="20"/>
  <c r="C16" i="20"/>
  <c r="D16" i="20"/>
  <c r="B24" i="20"/>
  <c r="B8" i="20" l="1"/>
  <c r="B9" i="20" l="1"/>
  <c r="B10" i="20" s="1"/>
  <c r="N67" i="19"/>
  <c r="C8" i="20"/>
  <c r="B39" i="4"/>
  <c r="B40" i="4" s="1"/>
  <c r="C80" i="21" s="1"/>
  <c r="E80" i="21" l="1"/>
  <c r="D80" i="21"/>
  <c r="B41" i="4"/>
  <c r="B121" i="21" s="1"/>
  <c r="B25" i="20"/>
  <c r="B26" i="20" s="1"/>
  <c r="C67" i="19"/>
  <c r="B67" i="19"/>
  <c r="D67" i="19"/>
  <c r="B17" i="20"/>
  <c r="C9" i="20"/>
  <c r="C10" i="20" s="1"/>
  <c r="D8" i="20"/>
  <c r="D9" i="20" s="1"/>
  <c r="D41" i="4" l="1"/>
  <c r="E121" i="21" s="1"/>
  <c r="B18" i="20"/>
  <c r="C41" i="4" s="1"/>
  <c r="D74" i="19"/>
  <c r="D68" i="19"/>
  <c r="B68" i="19"/>
  <c r="B74" i="19"/>
  <c r="M67" i="19"/>
  <c r="C68" i="19"/>
  <c r="C74" i="19"/>
  <c r="C25" i="20"/>
  <c r="C26" i="20" s="1"/>
  <c r="C17" i="20"/>
  <c r="C18" i="20" s="1"/>
  <c r="D10" i="20"/>
  <c r="D17" i="20"/>
  <c r="D18" i="20" s="1"/>
  <c r="D25" i="20"/>
  <c r="D26" i="20" s="1"/>
  <c r="H31" i="4"/>
  <c r="M74" i="19" l="1"/>
  <c r="B69" i="19"/>
  <c r="B75" i="19"/>
  <c r="M68" i="19"/>
  <c r="D69" i="19"/>
  <c r="D76" i="19" s="1"/>
  <c r="D75" i="19"/>
  <c r="D121" i="21"/>
  <c r="C75" i="19"/>
  <c r="C69" i="19"/>
  <c r="C76" i="19" s="1"/>
  <c r="C33" i="4"/>
  <c r="C40" i="21" s="1"/>
  <c r="H24" i="4"/>
  <c r="D33" i="4"/>
  <c r="D40" i="21" s="1"/>
  <c r="G33" i="4"/>
  <c r="B33" i="4"/>
  <c r="B40" i="21" s="1"/>
  <c r="E33" i="4"/>
  <c r="B15" i="4"/>
  <c r="H32" i="4"/>
  <c r="H26" i="4"/>
  <c r="H28" i="4"/>
  <c r="H27" i="4"/>
  <c r="H25" i="4"/>
  <c r="H29" i="4"/>
  <c r="H30" i="4"/>
  <c r="M75" i="19" l="1"/>
  <c r="B76" i="19"/>
  <c r="M76" i="19" s="1"/>
  <c r="M69" i="19"/>
  <c r="E40" i="21"/>
  <c r="C20" i="4"/>
  <c r="C18" i="4"/>
  <c r="C17" i="4"/>
  <c r="C16" i="4"/>
  <c r="C15" i="4"/>
  <c r="C19" i="4"/>
</calcChain>
</file>

<file path=xl/sharedStrings.xml><?xml version="1.0" encoding="utf-8"?>
<sst xmlns="http://schemas.openxmlformats.org/spreadsheetml/2006/main" count="551" uniqueCount="345">
  <si>
    <t>Eiendom</t>
  </si>
  <si>
    <t>Klasse 5</t>
  </si>
  <si>
    <t>Sum</t>
  </si>
  <si>
    <t>Bibliotek</t>
  </si>
  <si>
    <t>Irrelevante kostnader</t>
  </si>
  <si>
    <t>Direkte kostnader</t>
  </si>
  <si>
    <t>Indirekte kostnader</t>
  </si>
  <si>
    <t>Forskning</t>
  </si>
  <si>
    <t>Laboratoriedrift</t>
  </si>
  <si>
    <t>Totale kostnader BFV</t>
  </si>
  <si>
    <t>Undervisningsårsverk</t>
  </si>
  <si>
    <t>Studieadm</t>
  </si>
  <si>
    <t>Arealer til undervisning</t>
  </si>
  <si>
    <t>Laboratoriearealer</t>
  </si>
  <si>
    <t>Bibliotekarealer</t>
  </si>
  <si>
    <t>Øvrige arealer (residual)</t>
  </si>
  <si>
    <t>Brukernære driftsmidler</t>
  </si>
  <si>
    <t>Fristasjon for studentsamskipnad</t>
  </si>
  <si>
    <t>Arbeidsplass</t>
  </si>
  <si>
    <t>Undervisning</t>
  </si>
  <si>
    <t>Sum vitenskapelige årsverk</t>
  </si>
  <si>
    <t>Vitenskapelige årsverk spesifisert</t>
  </si>
  <si>
    <t>Fakulteter</t>
  </si>
  <si>
    <t>Studenter</t>
  </si>
  <si>
    <t>Forskningsadm</t>
  </si>
  <si>
    <t>Kostnadssted</t>
  </si>
  <si>
    <t>Kostnadsdriver arbeidsplass</t>
  </si>
  <si>
    <t>Sats pr årsverk</t>
  </si>
  <si>
    <t>Kostnadsdriver forskning</t>
  </si>
  <si>
    <t>Sats pr forskningsårsverk</t>
  </si>
  <si>
    <t>Kostnadsdriver undervisningsårsverk</t>
  </si>
  <si>
    <t>Kostnadsdriver alle forskningsårsverk (BOA + BFV)</t>
  </si>
  <si>
    <t>Sats pr undervisningsårsverk</t>
  </si>
  <si>
    <t>Sats inkludert arbeidsplass</t>
  </si>
  <si>
    <t>BFV Forsker</t>
  </si>
  <si>
    <t>BFV Stipendiat / Postdoktor</t>
  </si>
  <si>
    <t>Kjøp av tjenester for kjernevirksomheten</t>
  </si>
  <si>
    <t>Kostnad årsverk teknisk støtte</t>
  </si>
  <si>
    <t>Omregnet totalt</t>
  </si>
  <si>
    <t>Omregnet ansatte</t>
  </si>
  <si>
    <t>Andel studenter</t>
  </si>
  <si>
    <t>HE</t>
  </si>
  <si>
    <t>Studenter*</t>
  </si>
  <si>
    <t>Studenter**</t>
  </si>
  <si>
    <t>* Antall studenter som gir samme ressursbruk som en vitenskapelig ansatt</t>
  </si>
  <si>
    <t>Irrelevant kost</t>
  </si>
  <si>
    <t>Direkte kost</t>
  </si>
  <si>
    <t>Indirekte kost</t>
  </si>
  <si>
    <t>Vit. Årsverk BFV</t>
  </si>
  <si>
    <t>Kostnad støtte</t>
  </si>
  <si>
    <t>Direkte kostnad eiendom (leiested)</t>
  </si>
  <si>
    <t>Sats pr studiepoeng</t>
  </si>
  <si>
    <t xml:space="preserve">Kostnadsdriver undervisning </t>
  </si>
  <si>
    <t>Sum arealer direkte kostnad (leiested)</t>
  </si>
  <si>
    <t>Sum arealer</t>
  </si>
  <si>
    <t>Kostnadsdriver studenter (HE = 60 studiepoeng)</t>
  </si>
  <si>
    <t>Sats pr student</t>
  </si>
  <si>
    <t>Kostnadsdriver studenter</t>
  </si>
  <si>
    <t>Sats pr time</t>
  </si>
  <si>
    <t>Timer pr årsverk</t>
  </si>
  <si>
    <t>*Antall studenter som gir samme ressursbruk som en ansatt</t>
  </si>
  <si>
    <t>BEREGNING - FORDELING AV INDIREKTE KOSTNADER FRA KOSTNADSSTEDER TIL KOSTNADSBÆRER</t>
  </si>
  <si>
    <t>Kostnad BND</t>
  </si>
  <si>
    <t>Kostnadsdriver vitenskapelige årsverk + teknisk støtte</t>
  </si>
  <si>
    <t>Klasse 6</t>
  </si>
  <si>
    <t>Klasse 7</t>
  </si>
  <si>
    <t>IKT</t>
  </si>
  <si>
    <t xml:space="preserve">Klasse 3 </t>
  </si>
  <si>
    <t xml:space="preserve">Klasse 4 </t>
  </si>
  <si>
    <t>Vitenskapelig</t>
  </si>
  <si>
    <t>Kostnad</t>
  </si>
  <si>
    <t>Kostnadsbærer</t>
  </si>
  <si>
    <t>Andel</t>
  </si>
  <si>
    <t>ØKHR</t>
  </si>
  <si>
    <t>Grunnlag for å beregne satser pr time</t>
  </si>
  <si>
    <t>Sum arealer indirekte kostnad</t>
  </si>
  <si>
    <t xml:space="preserve">Kontorarealer </t>
  </si>
  <si>
    <t xml:space="preserve">Fordelingsnøkkel Eiendom til Annet areal  </t>
  </si>
  <si>
    <t>Sum kostnader BFV</t>
  </si>
  <si>
    <t>Total kost BFV</t>
  </si>
  <si>
    <t>Kostnadsdriver</t>
  </si>
  <si>
    <t>Årsverk vitenskapelig + støtte</t>
  </si>
  <si>
    <t>Årsverk forskning</t>
  </si>
  <si>
    <t>Årsverk undervisning</t>
  </si>
  <si>
    <t>Studiepoeng (HE)</t>
  </si>
  <si>
    <t>OPPSUMMERING</t>
  </si>
  <si>
    <t>Øvrig felles</t>
  </si>
  <si>
    <t>BFV</t>
  </si>
  <si>
    <t>BOA</t>
  </si>
  <si>
    <t xml:space="preserve">Sum vitenskapelige årsverk + støtteårsverk </t>
  </si>
  <si>
    <t>Sum årsverk uavhengig av finansiering (DBH)</t>
  </si>
  <si>
    <t>Årsverk BFV</t>
  </si>
  <si>
    <t>Årsverk BOA</t>
  </si>
  <si>
    <t>Omregnet vitensk.</t>
  </si>
  <si>
    <t>Sats pr kostnadsdriver</t>
  </si>
  <si>
    <t>Andel av indiekte kostnader</t>
  </si>
  <si>
    <t>Kostnadssted / Kostnadsbærer</t>
  </si>
  <si>
    <t>2. ÅRSVERK</t>
  </si>
  <si>
    <t>7. ANDRE DIREKTE KOSTNADER</t>
  </si>
  <si>
    <t>9. INDIREKTE KOSTNADER</t>
  </si>
  <si>
    <t>OPPSUMMERING GRAFISK</t>
  </si>
  <si>
    <t>Blå felter</t>
  </si>
  <si>
    <t>Inndata</t>
  </si>
  <si>
    <t>Røde tall</t>
  </si>
  <si>
    <t>Grønne tall</t>
  </si>
  <si>
    <t>Blå tall</t>
  </si>
  <si>
    <t>Nøkkel</t>
  </si>
  <si>
    <t>Oransje felter</t>
  </si>
  <si>
    <t>Kursive tall</t>
  </si>
  <si>
    <t>DBH</t>
  </si>
  <si>
    <t>5. BRUK AV TJENESTER STUDENTER VS ALLE ANSATTE</t>
  </si>
  <si>
    <t>Sats pr time/studiepoeng</t>
  </si>
  <si>
    <t>Fete tall</t>
  </si>
  <si>
    <t xml:space="preserve">Forskningsandel </t>
  </si>
  <si>
    <t>Øvrige årsverk (residual)</t>
  </si>
  <si>
    <t xml:space="preserve">Forskningsårsverk </t>
  </si>
  <si>
    <t>Studenter (HE studiepoeng) siste år (DBH)</t>
  </si>
  <si>
    <t>Forskningsadministrasjon</t>
  </si>
  <si>
    <t>Studieadministrasjon</t>
  </si>
  <si>
    <t>Sum kostnader</t>
  </si>
  <si>
    <t>Forskningsandel</t>
  </si>
  <si>
    <t>3. STUDENTER</t>
  </si>
  <si>
    <t>Stiplet kantlinje</t>
  </si>
  <si>
    <t>INNDATA (blå felter - beløp i hele kr)</t>
  </si>
  <si>
    <t>4. BRUK AV TJENESTER STUDENTER VS VITENSKAPELIG</t>
  </si>
  <si>
    <t>Fordelingsnøkkel IKT til Studenter vs Arbeidsplass</t>
  </si>
  <si>
    <t>Fordelingsnøkkel  Vitenskapelig aktivitet til Forskning</t>
  </si>
  <si>
    <t>Fordelingsnøkkel Fakultet til Studenter</t>
  </si>
  <si>
    <t>Fordelingsnøkkel Bibliotek til Studenter</t>
  </si>
  <si>
    <t>KOSTNADSBÆRERE: INDIREKTE KOSTNADER - DRIVERE OG SATSER (hele kroner)</t>
  </si>
  <si>
    <t>BOA (UN1, UN2 og UN4)</t>
  </si>
  <si>
    <t>UN1</t>
  </si>
  <si>
    <t>UN2</t>
  </si>
  <si>
    <t>UN3</t>
  </si>
  <si>
    <t>Støtteårsverk fakultet (ST2 og ST3) DBH</t>
  </si>
  <si>
    <t>ST2</t>
  </si>
  <si>
    <t>ST3</t>
  </si>
  <si>
    <t>Oppsummering</t>
  </si>
  <si>
    <t>Vitenskapelig lønn (UN1, UN2 og UN4)</t>
  </si>
  <si>
    <t>Her beregnes tre kostnadsdrivere i modellen:</t>
  </si>
  <si>
    <t>- Kostnadsdriver arbeidsplass: sum vitenskapelige årsverk og støtteårsverk (BFV + BOA)</t>
  </si>
  <si>
    <t>- Kostnadsdriver undervisning: sum undervisningsårsverk</t>
  </si>
  <si>
    <t>Modellen legger opp til at de ulike vitenskapelige stillingene kan ha ulik forskningsandel.</t>
  </si>
  <si>
    <t>Fordelingsnøkkelen er et vektet snitt av forskningsandelen til de ulike stillingene.</t>
  </si>
  <si>
    <t xml:space="preserve">- Kostnadsdriver forskning: sum forskningsårsverk (BFV + BOA) </t>
  </si>
  <si>
    <t>Dersom denne fordelingsnøkkelen beregnes på en annen måte kan den overskrives manuelt i modellen.</t>
  </si>
  <si>
    <t>BFV 1. amanuensis / professor</t>
  </si>
  <si>
    <t>Dette er kostnadsdriveren for studenter.</t>
  </si>
  <si>
    <t>Her beregnes tre fordelingsnøkler:</t>
  </si>
  <si>
    <t>- Fordelingsnøkkel for bibliotekskostnader til studenter eller vitenskapelig aktivitet</t>
  </si>
  <si>
    <t>- Fordelingsnøkkel kostnader øvrig/annet areal til studenter  eller vitenskapelig aktivitet</t>
  </si>
  <si>
    <t>Legg inn hvor mange studenter som gir samme ressursbruk som en vitenskapelig ansatt.</t>
  </si>
  <si>
    <t>Fordelingsnøklene beregnes og gir andelen til studenter.</t>
  </si>
  <si>
    <t>Dersom disse fordelingsnøkklene beregnes eller vurderes på en annen måte kan de overskrives manuelt i modellen.</t>
  </si>
  <si>
    <t>Legg inn hvor mange studenter som gir samme ressursbruk som en ansatt.</t>
  </si>
  <si>
    <t>Dersom denne fordelingsnøkkelen  beregnes eller vurderes på en annen måte kan den overskrives manuelt i modellen.</t>
  </si>
  <si>
    <t>Kostnad pr m2</t>
  </si>
  <si>
    <t>Totalt areal brutto m2 (egne og leide lokaler)</t>
  </si>
  <si>
    <t>m2</t>
  </si>
  <si>
    <t>Vekt</t>
  </si>
  <si>
    <t>Kostnad vektet</t>
  </si>
  <si>
    <t>Dersom noen av arealene vurderes å være mer kostbare pr m2 kan de vektes relativt.</t>
  </si>
  <si>
    <t>Det beregnes i så fall en vektet kostnad pr m2 slik at totalkostnaden blir uendret.</t>
  </si>
  <si>
    <t>BND</t>
  </si>
  <si>
    <t>Fordelingsnøkkel Eiendom til Bibliotek</t>
  </si>
  <si>
    <t>Fordelingsnøkkel Eiendom til Studenter</t>
  </si>
  <si>
    <t xml:space="preserve">Fordelingsnøkkel Eiendom til Arbeidsplass </t>
  </si>
  <si>
    <t>Ufordelt areal (residual) utgjør øvrig areal i modellen.</t>
  </si>
  <si>
    <t>BRUK AV FARGER/FONTER</t>
  </si>
  <si>
    <t>FORKORTELSER</t>
  </si>
  <si>
    <t xml:space="preserve">OPPSUMMERING </t>
  </si>
  <si>
    <t>Modellen er utarbeidet i 2022/2023 og viderefører prinsippene i modellen fra fra 2012.</t>
  </si>
  <si>
    <t>UHR</t>
  </si>
  <si>
    <t>Timer pr årsverk brukes for å beregne satser pr time og er satt til 1628 ref. rapport fra 2013  på UHRs nettsider.</t>
  </si>
  <si>
    <t>TDI</t>
  </si>
  <si>
    <t>Direkte kostnader består hovedsakelig av lønn i vitenskapelige stillinger og kostnader til infrastruktur og lokaler til undervisning og forskning.</t>
  </si>
  <si>
    <t xml:space="preserve">Totale kostnader består av direkte kostnader knyttet  til kjerneaktivitetene forskning og undervisning og indirekte kostnader knyttet til støttetjenester. </t>
  </si>
  <si>
    <t>ARKFANER</t>
  </si>
  <si>
    <t>Noen få formler kan overskrives manuelt, disse feltene er merket med stiplet kantlinje.</t>
  </si>
  <si>
    <t>Data legges inn i felter merket med blå bakgrunn.</t>
  </si>
  <si>
    <t>Alle beløp legges inn i hele kroner.</t>
  </si>
  <si>
    <t>Kostnadsfordeling</t>
  </si>
  <si>
    <t>Satser</t>
  </si>
  <si>
    <t>Oppsummering grafisk</t>
  </si>
  <si>
    <t>Dokumentasjon</t>
  </si>
  <si>
    <t>De aller fleste formlene i modellen har referanser oppover eller til høyre.</t>
  </si>
  <si>
    <t>Med lønn menes både lønn og sosiale kostnader (arbeidsgiveravgift, pensjonsinnskudd mv.).</t>
  </si>
  <si>
    <t>Årsverk BFV (ST2-ST3)</t>
  </si>
  <si>
    <t xml:space="preserve">De totale kostnadene er netto kostnader innenfor den bevilgningsfinansierte delen av virksomheten (BFV). </t>
  </si>
  <si>
    <t>Nettobegrepet innebærer at kostnadene reduseres med noen typer inntekter: salg og refusjoner.</t>
  </si>
  <si>
    <t>Dette betyr at dersom man tar utgangspunkt i totalregnskapet må man først eliminere BOA-regnskapet for å få BFV-regnskapet.</t>
  </si>
  <si>
    <t>Kostnadsklassene i regnskapet håndteres for øvrig slik:</t>
  </si>
  <si>
    <t>Se forklaring til de enkelte inndatafeltene nederst i denne dokumentasjonen.</t>
  </si>
  <si>
    <t>INNDATAFELTER</t>
  </si>
  <si>
    <t>- Bibliotek</t>
  </si>
  <si>
    <t>Indirekte kostnader pr kostnadsted beregnes ved å trekke fra direkte kostnader og irrelevante kostnader.</t>
  </si>
  <si>
    <t>Eksempler på irrelevante kostnader kan være bibliotekstjenester eller laboratorietjenester som benyttes av andre institusjoner.</t>
  </si>
  <si>
    <t>Klasse 3: Alle konti tas med bortsett fra 39XX.</t>
  </si>
  <si>
    <t>Klasse 4: Tar kun med varekostnader.</t>
  </si>
  <si>
    <t>Klasse 5: Alt tas med.</t>
  </si>
  <si>
    <t>Klasse 6: Alt tas med.</t>
  </si>
  <si>
    <t>Klasse 7: Alt tas med.</t>
  </si>
  <si>
    <t>Klasse 8: Tas ikke med</t>
  </si>
  <si>
    <t>Klasse 9: Tas ikke med</t>
  </si>
  <si>
    <t xml:space="preserve">Sum vitenskapelige årsverk </t>
  </si>
  <si>
    <t>Fordelingsnøkkel  indirekte kostnader til Museum</t>
  </si>
  <si>
    <t>Museumsarealer</t>
  </si>
  <si>
    <t>Fakultet og sentre</t>
  </si>
  <si>
    <t>Museum</t>
  </si>
  <si>
    <t>Museum (trekkes ut)</t>
  </si>
  <si>
    <t>Indirekte kostnader før fordeling</t>
  </si>
  <si>
    <t>Trinn 1</t>
  </si>
  <si>
    <t>Trinn 2</t>
  </si>
  <si>
    <t>Trinn 3</t>
  </si>
  <si>
    <t>Indirekte kostnader etter fordeling</t>
  </si>
  <si>
    <t>Museum trekkes ut først</t>
  </si>
  <si>
    <t>Trinn 0</t>
  </si>
  <si>
    <t>Sum indirekte kostnader</t>
  </si>
  <si>
    <t>Fakultet og senter</t>
  </si>
  <si>
    <t>Direkte kostnad fakultet og senter</t>
  </si>
  <si>
    <t>Direkte kostnad fakultet og senter (leiested)</t>
  </si>
  <si>
    <t>Årsverk i museer trekkes helt ut av modellen.</t>
  </si>
  <si>
    <t>Her beregnes to fordelingsnøkler:</t>
  </si>
  <si>
    <t>- Fordelingsnøkkel for vitenskapelige årsverk og vitenskapelig aktivitet til forskning eller undervisning.</t>
  </si>
  <si>
    <t>- Museum</t>
  </si>
  <si>
    <t>Kostnader til museum trekkes i sin helhet ut som direkte kostnader.</t>
  </si>
  <si>
    <t>- Fakultet og sentre</t>
  </si>
  <si>
    <t>Satsene for indirekte kostnader beregnes som gjennomsnittssatser på institusjonsnivå.</t>
  </si>
  <si>
    <t>Ikke definert</t>
  </si>
  <si>
    <t>Sum årsverk institusjon</t>
  </si>
  <si>
    <t>Kostnadsdriver museum - ikke definert</t>
  </si>
  <si>
    <t>Sats pr kostnadsdriver - ikke definert</t>
  </si>
  <si>
    <t>Undervisningslokaler (leiested)</t>
  </si>
  <si>
    <t>Museum (leiested)</t>
  </si>
  <si>
    <t>8. AREAL</t>
  </si>
  <si>
    <t>Snittlønn (ST2-ST3)</t>
  </si>
  <si>
    <t>Vektet kostnad pr m2 (beregnes hvis vekt ulik 1,0)</t>
  </si>
  <si>
    <t xml:space="preserve">De indirekte kostnadene fordeles fra kostnadssteder til kostnadsbærerne, dvs. arbeidsplass, forskning, undervisning, studenter og museer. </t>
  </si>
  <si>
    <t>Arkfanen inneholder  informasjon og formler for å fordele de indirekte kostnadene fra kostnadssteder til kostnadsbærere.</t>
  </si>
  <si>
    <t>Arkfanen inneholder informasjon og formler for å beregne satser for de indirekte kostnadene pr kostnadsbærer.</t>
  </si>
  <si>
    <t>De indirekte kostnadene hentes fra arkfanen Kostnadsfordeling.</t>
  </si>
  <si>
    <t>Kostnadsdrivere og timetall/studiepoeng hentes fra arkfanen Inndata.</t>
  </si>
  <si>
    <t>Denne arkfanen.</t>
  </si>
  <si>
    <t>- Fordelingsnøkkel indirekte kostnader til museum eller videre fordeling i modellen.</t>
  </si>
  <si>
    <r>
      <rPr>
        <b/>
        <sz val="11"/>
        <color rgb="FFFF0000"/>
        <rFont val="Calibri"/>
        <family val="2"/>
        <scheme val="minor"/>
      </rPr>
      <t>Fordelingsnøkler</t>
    </r>
    <r>
      <rPr>
        <sz val="11"/>
        <color theme="1"/>
        <rFont val="Calibri"/>
        <family val="2"/>
        <scheme val="minor"/>
      </rPr>
      <t xml:space="preserve"> og </t>
    </r>
    <r>
      <rPr>
        <b/>
        <sz val="11"/>
        <color rgb="FF00B050"/>
        <rFont val="Calibri"/>
        <family val="2"/>
        <scheme val="minor"/>
      </rPr>
      <t>kostnadsdrivere</t>
    </r>
    <r>
      <rPr>
        <sz val="11"/>
        <color theme="1"/>
        <rFont val="Calibri"/>
        <family val="2"/>
        <scheme val="minor"/>
      </rPr>
      <t xml:space="preserve"> beregnes også.</t>
    </r>
  </si>
  <si>
    <t>De indirekte kostnadene og fordelingsnøklene hentes fra arkfanen Inndata.</t>
  </si>
  <si>
    <t>Arkfanen inneholder alle inndata. Det skal ikke legges inn data i andre arkfaner.</t>
  </si>
  <si>
    <t>Arkfanen gir en grafisk framstilling av fordelingen av indirekte kostnader (fra kostnadssteder) pr kostnadsbærer.</t>
  </si>
  <si>
    <t>Modellen forutsetter også at alle interne føringer blir nullstilt (for eksempel bokført internhusleie/-inntekter).</t>
  </si>
  <si>
    <t>Lønn kan evt. beregnes med en gjennomsnittslønn og multipliseres med antall årsverk.</t>
  </si>
  <si>
    <t>Brukernære driftsmidler er en skjønnsmessig direkte kostnad pr vitenskapelig årsverk (f.eks. reise- og konferansedeltakelse). Kalkulatorisk - ikke bokført.</t>
  </si>
  <si>
    <t>Kjøp av tjenester for kjernevirksomheten omfatter bla forsknings- og undervisningstjenester og praksiskostnader. Disse trekkes normalt direkte ut fra regnskapet.</t>
  </si>
  <si>
    <t>Lønn kan tas ut direkte fra regnskapet hvis kontoplanen  gir mulighet for å hente ut denne typen spesifikke data. Husk timelærere og sensorer.</t>
  </si>
  <si>
    <t>Formidling og innovasjon er også kjerneaktiviteter. De er ikke egne kostnadsbærere i modellen, men inngår i kjerneaktivitetene forskning og undervisning.</t>
  </si>
  <si>
    <t>Indirekte kostnader pr kostnadssted synliggjøres i arkfanen.</t>
  </si>
  <si>
    <t>Øvrige kostnader er indirekte og bestemmes residualt. Indirekte kostnader synliggjøres på kostnadssteder.</t>
  </si>
  <si>
    <t>TDI-modellen er en totalkostnadsmodell for forskning og undervisning. Se UHRs nettsider for historikk og oppdatert informasjon.</t>
  </si>
  <si>
    <t>Satsene brukes for å dokumentere indirekte kostnader ved budsjettering og regnskapsføring.</t>
  </si>
  <si>
    <t>Hver kostnadsbærer har en tilhørende kostnadsdriver (årsverk/studenttall) som brukes for å beregne satser for indirekte kostnader.</t>
  </si>
  <si>
    <t>Arkfanen gir en tabellarisk oppsummering av de viktigste elementene og resultatene i modellen.</t>
  </si>
  <si>
    <t>Legg inn studiepoengproduksjon fra DBH (60 studiepoengenheter)</t>
  </si>
  <si>
    <t>Klasse 1: Tas ikke med</t>
  </si>
  <si>
    <t>Klasse 2: Tas ikke med</t>
  </si>
  <si>
    <t>Kostnadene synliggjøres på følgende kostnadssteder:</t>
  </si>
  <si>
    <t>Modellen legger opp til at det skal legges inn en vurdering av hvordan ressursbruken er fordelt i IKT enheten.</t>
  </si>
  <si>
    <t>Her fordeles areal (kvadratmeter) til undervisning, laboratorier, museum,  kontorer, bibliotek og fristasjon. Evt. internhusleie inngår ikke  i kostnadene da klasse 9 ikke er tatt med.</t>
  </si>
  <si>
    <t>- Fellestjenester</t>
  </si>
  <si>
    <t xml:space="preserve">       - Studieadministrasjon</t>
  </si>
  <si>
    <t xml:space="preserve">       - Forskningsadministrasjon</t>
  </si>
  <si>
    <t xml:space="preserve">       - ØKHR</t>
  </si>
  <si>
    <t xml:space="preserve">       - Eiendom</t>
  </si>
  <si>
    <t>Totalkostnad areal hentes i modellen fra sum kostnadssted Eiendom (6. totale kostnader bfv pr kostnadssted).</t>
  </si>
  <si>
    <t>Irrelevante kostnader er eventuelle kostnader som gjelder organisasjoner som ikke er en del av universitetet/høyskolen.</t>
  </si>
  <si>
    <t>Total kostnad areal (hentes fra 6. Totale kostnader BFV -  Eiendom)</t>
  </si>
  <si>
    <t>1. ÅR OG PRIS- OG LØNNSVEKST</t>
  </si>
  <si>
    <t xml:space="preserve">Legg inn forventet pris- og lønssvekst de to neste årene. </t>
  </si>
  <si>
    <t>Pris- og lønnsveksten brukes for å beregne satsene de to neste årene.</t>
  </si>
  <si>
    <t>År  0 (datagrunnlag)</t>
  </si>
  <si>
    <t>Legg inn årstallet for datagrunnlaget - regnskap og årsverk (år null).</t>
  </si>
  <si>
    <t>Det anbefales å bruke statsbudsjettets sats for prisjustering i år 1.</t>
  </si>
  <si>
    <t>Det anbefales å bruke en vektet sum av SSBs konjunkturtendenser (årslønn og konsumprisindeksen) for år 2.</t>
  </si>
  <si>
    <t>Legg inn data for årsverk. Hentes fra DBH og kompletteres evt med andre interne data om årsverk som ikke er registrert i DBH.</t>
  </si>
  <si>
    <t>- Fordelingsnøkkel for indirekte fakultetskostnader til studenter eller vitenskapelig aktivitet</t>
  </si>
  <si>
    <t>Fordelingsnøkkelen beregnes og gir andelen som skal fordeles til studenter.</t>
  </si>
  <si>
    <t>Her beregnes fordelingsnøkkelen for IKT-kostnader mellom studenter og arbeidsplass for alle ansatte.</t>
  </si>
  <si>
    <t>Det er bruttoareal som skal fordeles,  dvs. areal inkludert andel av fellesareal tas med i den grad det er mulig.</t>
  </si>
  <si>
    <t>6. TOTALE KOSTNADER PR KOSTNADSSTED - UTTREKK FRA BFV</t>
  </si>
  <si>
    <t xml:space="preserve">       - Øvrig felles (residual)</t>
  </si>
  <si>
    <t>Øvrig felles (residual)</t>
  </si>
  <si>
    <t>Øvrig felles (residual) og øvrig arealer (residual)</t>
  </si>
  <si>
    <t xml:space="preserve">Fordelingsnøkkel Øvrig felles og Øvrig areal til Studenter </t>
  </si>
  <si>
    <t>Øvrig areal</t>
  </si>
  <si>
    <t>Modellen legger opp til at det skal legges inn en vurdering av hvordan ressursbruken er fordelt i fakultet, bibilotek og øvrigfelles og øvrig areal.</t>
  </si>
  <si>
    <t xml:space="preserve">       - IKT</t>
  </si>
  <si>
    <t>Utdata (satser for indirekte kostnader)</t>
  </si>
  <si>
    <t>Beregnet felt - Kan overskrives manuelt (inndata) hvis annen beregning legges til grunn</t>
  </si>
  <si>
    <t>Fordelingsnøkler</t>
  </si>
  <si>
    <t>Kostnadsdrivere</t>
  </si>
  <si>
    <t>Sumfelt</t>
  </si>
  <si>
    <t>Totale kostnader - Direkte kostnader = Indirekte kostnader</t>
  </si>
  <si>
    <t>Universitets- og høgskolerådet</t>
  </si>
  <si>
    <t>Database for statistikk om høyere utdanning</t>
  </si>
  <si>
    <t>Bevilgningsfinansiert virksomhet</t>
  </si>
  <si>
    <t>Bidrags- og oppdragsfinansiert aktivitet (eksternfinansiert aktivitet)</t>
  </si>
  <si>
    <t>Undervisnings- og forskerstillinger (stillingskategori DBH)</t>
  </si>
  <si>
    <t>Utdannings- og rekrutteringsstillinger (stillingskategori DBH)</t>
  </si>
  <si>
    <t>Faglig-administrative lederstillinger (stillingskategori DBH)</t>
  </si>
  <si>
    <t>Ingeniører (stillingskategori DBH)</t>
  </si>
  <si>
    <t>Tekniske stillinger for undervisning, forskning og formidling (stillingskategori DBH)</t>
  </si>
  <si>
    <t>Heltidsekvivalent, en student = 60 studiepoeng</t>
  </si>
  <si>
    <t>Det anbefales at inndata i modellen oppdateres hvert år.</t>
  </si>
  <si>
    <t>Brukernære driftsmidler (skjønnsmessig kalkulatorisk, ikke bokført)</t>
  </si>
  <si>
    <t>Det er ingen referanser til andre excel-ark.</t>
  </si>
  <si>
    <t>Vitenskapelige årsverk (UN1, UN2 og UN4) fra DBH</t>
  </si>
  <si>
    <t>Herav vitenskapelige årsverk museum (trekkes ut)</t>
  </si>
  <si>
    <t>BFV Lektor / øvrige (residual DBH)</t>
  </si>
  <si>
    <t>Institusjon:</t>
  </si>
  <si>
    <t>Laboratorier (leiested)</t>
  </si>
  <si>
    <t>Kostnadsbærer/sted</t>
  </si>
  <si>
    <t>Årsverk/Studenter</t>
  </si>
  <si>
    <t>Timer/Studiepoeng</t>
  </si>
  <si>
    <t>Sum/Sats</t>
  </si>
  <si>
    <t>IKT (arbeidsplass)</t>
  </si>
  <si>
    <t>ØKHR (arbeidsplass)</t>
  </si>
  <si>
    <t>Eiendom (arbeidsplass)</t>
  </si>
  <si>
    <t>Sats pr årsverk/student</t>
  </si>
  <si>
    <t>Vitenskapelige årsverk ikke registrert i DBH (for eksempel timelærere)</t>
  </si>
  <si>
    <t>Universitetshøyskolen</t>
  </si>
  <si>
    <t>Regnskap</t>
  </si>
  <si>
    <t>Velg årstall oppsummering</t>
  </si>
  <si>
    <t>DOKUMENTASJON Versjon 1.0</t>
  </si>
  <si>
    <t>ENDRINGSLOGG</t>
  </si>
  <si>
    <t>Versjon 1.0</t>
  </si>
  <si>
    <t>Første versjon.</t>
  </si>
  <si>
    <t>Ferdigstilt 30.11.2023</t>
  </si>
  <si>
    <t>Prisjustert</t>
  </si>
  <si>
    <t>Grunnlag grafer oppsummering</t>
  </si>
  <si>
    <t>År</t>
  </si>
  <si>
    <t>Prisjustering</t>
  </si>
  <si>
    <t>UH-sektoren er ikke 100 % enhetlig i regnskapsstruktur, og den enkelte institusjon må rimelighetsvurdere inndata og tilpasse inndata ved behov.</t>
  </si>
  <si>
    <t>Avskrivning vitenskapelig- og undervisningsutstyr</t>
  </si>
  <si>
    <t>Avskrivning vitenskapelig utstyr og undervisningsutstyr hentes enten direkte fra resultatregnskapet eller beregnes ut fra balansen og avskrivningstid.</t>
  </si>
  <si>
    <t>Disse avskrivningene trekkes ut som direkte kostnad fra fakultet/senter, og det forutsettes derfor i modellen at disse avskrivningene føres der. Hvis ikke må dette korrigeres manuelt.</t>
  </si>
  <si>
    <t>Oppgi hvilket år oppsummeringen skal vise.</t>
  </si>
  <si>
    <t>Året som vises velges i arkfanen Oppsummering.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</si>
</sst>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* #,##0.000_-;\-* #,##0.000_-;_-* &quot;-&quot;??_-;_-@_-"/>
    <numFmt numFmtId="167" formatCode="0.0\ %"/>
    <numFmt numFmtId="168" formatCode="_-* #,##0.0000_-;\-* #,##0.0000_-;_-* &quot;-&quot;??_-;_-@_-"/>
    <numFmt numFmtId="169" formatCode="#,##0_ ;\-#,##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16" applyNumberFormat="0" applyAlignment="0" applyProtection="0"/>
    <xf numFmtId="0" fontId="16" fillId="11" borderId="17" applyNumberFormat="0" applyAlignment="0" applyProtection="0"/>
    <xf numFmtId="0" fontId="17" fillId="11" borderId="16" applyNumberFormat="0" applyAlignment="0" applyProtection="0"/>
    <xf numFmtId="0" fontId="18" fillId="0" borderId="18" applyNumberFormat="0" applyFill="0" applyAlignment="0" applyProtection="0"/>
    <xf numFmtId="0" fontId="19" fillId="12" borderId="19" applyNumberFormat="0" applyAlignment="0" applyProtection="0"/>
    <xf numFmtId="0" fontId="20" fillId="0" borderId="0" applyNumberFormat="0" applyFill="0" applyBorder="0" applyAlignment="0" applyProtection="0"/>
    <xf numFmtId="0" fontId="1" fillId="13" borderId="20" applyNumberFormat="0" applyFont="0" applyAlignment="0" applyProtection="0"/>
    <xf numFmtId="0" fontId="21" fillId="0" borderId="0" applyNumberFormat="0" applyFill="0" applyBorder="0" applyAlignment="0" applyProtection="0"/>
    <xf numFmtId="0" fontId="2" fillId="0" borderId="21" applyNumberFormat="0" applyFill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2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202">
    <xf numFmtId="0" fontId="0" fillId="0" borderId="0" xfId="0"/>
    <xf numFmtId="165" fontId="0" fillId="0" borderId="0" xfId="1" applyNumberFormat="1" applyFont="1"/>
    <xf numFmtId="0" fontId="5" fillId="0" borderId="0" xfId="0" applyFont="1"/>
    <xf numFmtId="0" fontId="6" fillId="4" borderId="0" xfId="0" applyFont="1" applyFill="1"/>
    <xf numFmtId="0" fontId="3" fillId="0" borderId="0" xfId="0" applyFont="1"/>
    <xf numFmtId="0" fontId="6" fillId="0" borderId="1" xfId="0" applyFont="1" applyBorder="1" applyAlignment="1">
      <alignment horizontal="center"/>
    </xf>
    <xf numFmtId="165" fontId="0" fillId="0" borderId="0" xfId="0" applyNumberFormat="1"/>
    <xf numFmtId="0" fontId="0" fillId="0" borderId="0" xfId="0" quotePrefix="1"/>
    <xf numFmtId="165" fontId="0" fillId="0" borderId="4" xfId="1" applyNumberFormat="1" applyFont="1" applyBorder="1"/>
    <xf numFmtId="165" fontId="0" fillId="0" borderId="5" xfId="1" applyNumberFormat="1" applyFont="1" applyBorder="1"/>
    <xf numFmtId="167" fontId="0" fillId="0" borderId="5" xfId="2" applyNumberFormat="1" applyFont="1" applyBorder="1"/>
    <xf numFmtId="165" fontId="0" fillId="0" borderId="7" xfId="1" applyNumberFormat="1" applyFont="1" applyBorder="1"/>
    <xf numFmtId="165" fontId="0" fillId="0" borderId="0" xfId="1" applyNumberFormat="1" applyFont="1" applyBorder="1"/>
    <xf numFmtId="167" fontId="0" fillId="0" borderId="0" xfId="2" applyNumberFormat="1" applyFont="1" applyBorder="1"/>
    <xf numFmtId="165" fontId="0" fillId="0" borderId="9" xfId="1" applyNumberFormat="1" applyFont="1" applyBorder="1"/>
    <xf numFmtId="165" fontId="0" fillId="0" borderId="10" xfId="1" applyNumberFormat="1" applyFont="1" applyBorder="1"/>
    <xf numFmtId="167" fontId="0" fillId="0" borderId="10" xfId="2" applyNumberFormat="1" applyFont="1" applyBorder="1"/>
    <xf numFmtId="167" fontId="23" fillId="0" borderId="0" xfId="2" applyNumberFormat="1" applyFont="1" applyBorder="1"/>
    <xf numFmtId="167" fontId="23" fillId="0" borderId="10" xfId="2" applyNumberFormat="1" applyFont="1" applyBorder="1"/>
    <xf numFmtId="167" fontId="24" fillId="0" borderId="0" xfId="2" applyNumberFormat="1" applyFont="1" applyBorder="1"/>
    <xf numFmtId="167" fontId="23" fillId="0" borderId="5" xfId="2" applyNumberFormat="1" applyFont="1" applyBorder="1"/>
    <xf numFmtId="165" fontId="0" fillId="0" borderId="2" xfId="1" applyNumberFormat="1" applyFont="1" applyBorder="1"/>
    <xf numFmtId="9" fontId="0" fillId="0" borderId="2" xfId="2" applyFont="1" applyBorder="1"/>
    <xf numFmtId="0" fontId="0" fillId="0" borderId="2" xfId="0" applyBorder="1"/>
    <xf numFmtId="165" fontId="2" fillId="0" borderId="2" xfId="1" applyNumberFormat="1" applyFont="1" applyBorder="1"/>
    <xf numFmtId="9" fontId="2" fillId="0" borderId="2" xfId="2" applyFont="1" applyBorder="1"/>
    <xf numFmtId="165" fontId="2" fillId="5" borderId="2" xfId="1" applyNumberFormat="1" applyFont="1" applyFill="1" applyBorder="1"/>
    <xf numFmtId="9" fontId="2" fillId="5" borderId="2" xfId="2" applyFont="1" applyFill="1" applyBorder="1"/>
    <xf numFmtId="165" fontId="0" fillId="0" borderId="2" xfId="1" applyNumberFormat="1" applyFont="1" applyFill="1" applyBorder="1"/>
    <xf numFmtId="0" fontId="7" fillId="0" borderId="0" xfId="0" applyFont="1"/>
    <xf numFmtId="0" fontId="6" fillId="0" borderId="0" xfId="0" applyFont="1"/>
    <xf numFmtId="165" fontId="2" fillId="6" borderId="2" xfId="1" applyNumberFormat="1" applyFont="1" applyFill="1" applyBorder="1"/>
    <xf numFmtId="165" fontId="2" fillId="6" borderId="2" xfId="1" applyNumberFormat="1" applyFont="1" applyFill="1" applyBorder="1" applyAlignment="1">
      <alignment vertical="top" wrapText="1"/>
    </xf>
    <xf numFmtId="0" fontId="2" fillId="6" borderId="2" xfId="0" applyFont="1" applyFill="1" applyBorder="1" applyAlignment="1">
      <alignment vertical="top" wrapText="1"/>
    </xf>
    <xf numFmtId="0" fontId="6" fillId="4" borderId="2" xfId="0" applyFont="1" applyFill="1" applyBorder="1"/>
    <xf numFmtId="165" fontId="0" fillId="3" borderId="2" xfId="1" applyNumberFormat="1" applyFont="1" applyFill="1" applyBorder="1"/>
    <xf numFmtId="165" fontId="25" fillId="0" borderId="0" xfId="0" applyNumberFormat="1" applyFont="1" applyAlignment="1">
      <alignment horizontal="center" vertical="center"/>
    </xf>
    <xf numFmtId="9" fontId="25" fillId="0" borderId="0" xfId="0" applyNumberFormat="1" applyFont="1" applyAlignment="1">
      <alignment horizontal="right"/>
    </xf>
    <xf numFmtId="165" fontId="25" fillId="0" borderId="0" xfId="0" applyNumberFormat="1" applyFont="1" applyAlignment="1">
      <alignment horizontal="left" vertical="center"/>
    </xf>
    <xf numFmtId="165" fontId="5" fillId="0" borderId="0" xfId="1" applyNumberFormat="1" applyFont="1"/>
    <xf numFmtId="165" fontId="0" fillId="0" borderId="2" xfId="1" applyNumberFormat="1" applyFont="1" applyBorder="1" applyAlignment="1">
      <alignment horizontal="left" indent="2"/>
    </xf>
    <xf numFmtId="165" fontId="2" fillId="0" borderId="4" xfId="1" applyNumberFormat="1" applyFont="1" applyBorder="1"/>
    <xf numFmtId="165" fontId="2" fillId="0" borderId="7" xfId="1" applyNumberFormat="1" applyFont="1" applyBorder="1"/>
    <xf numFmtId="165" fontId="2" fillId="0" borderId="9" xfId="1" applyNumberFormat="1" applyFont="1" applyBorder="1"/>
    <xf numFmtId="165" fontId="26" fillId="0" borderId="2" xfId="1" applyNumberFormat="1" applyFont="1" applyBorder="1"/>
    <xf numFmtId="165" fontId="26" fillId="0" borderId="2" xfId="0" applyNumberFormat="1" applyFont="1" applyBorder="1"/>
    <xf numFmtId="165" fontId="27" fillId="0" borderId="5" xfId="1" applyNumberFormat="1" applyFont="1" applyBorder="1"/>
    <xf numFmtId="165" fontId="27" fillId="0" borderId="0" xfId="1" applyNumberFormat="1" applyFont="1" applyBorder="1"/>
    <xf numFmtId="165" fontId="27" fillId="0" borderId="10" xfId="1" applyNumberFormat="1" applyFont="1" applyBorder="1"/>
    <xf numFmtId="165" fontId="27" fillId="0" borderId="6" xfId="1" applyNumberFormat="1" applyFont="1" applyBorder="1"/>
    <xf numFmtId="165" fontId="27" fillId="0" borderId="8" xfId="1" applyNumberFormat="1" applyFont="1" applyBorder="1"/>
    <xf numFmtId="165" fontId="27" fillId="0" borderId="11" xfId="1" applyNumberFormat="1" applyFont="1" applyBorder="1"/>
    <xf numFmtId="165" fontId="28" fillId="0" borderId="10" xfId="1" applyNumberFormat="1" applyFont="1" applyBorder="1"/>
    <xf numFmtId="165" fontId="29" fillId="0" borderId="6" xfId="1" applyNumberFormat="1" applyFont="1" applyBorder="1"/>
    <xf numFmtId="165" fontId="29" fillId="0" borderId="8" xfId="1" applyNumberFormat="1" applyFont="1" applyBorder="1"/>
    <xf numFmtId="165" fontId="29" fillId="0" borderId="11" xfId="1" applyNumberFormat="1" applyFont="1" applyBorder="1"/>
    <xf numFmtId="165" fontId="29" fillId="0" borderId="5" xfId="1" applyNumberFormat="1" applyFont="1" applyBorder="1"/>
    <xf numFmtId="165" fontId="29" fillId="0" borderId="0" xfId="1" applyNumberFormat="1" applyFont="1" applyBorder="1"/>
    <xf numFmtId="165" fontId="29" fillId="0" borderId="10" xfId="1" applyNumberFormat="1" applyFont="1" applyBorder="1"/>
    <xf numFmtId="165" fontId="29" fillId="0" borderId="2" xfId="1" applyNumberFormat="1" applyFont="1" applyBorder="1"/>
    <xf numFmtId="165" fontId="3" fillId="0" borderId="2" xfId="1" applyNumberFormat="1" applyFont="1" applyBorder="1"/>
    <xf numFmtId="165" fontId="3" fillId="5" borderId="2" xfId="0" applyNumberFormat="1" applyFont="1" applyFill="1" applyBorder="1"/>
    <xf numFmtId="165" fontId="29" fillId="0" borderId="2" xfId="0" applyNumberFormat="1" applyFont="1" applyBorder="1"/>
    <xf numFmtId="0" fontId="29" fillId="0" borderId="2" xfId="0" applyFont="1" applyBorder="1"/>
    <xf numFmtId="165" fontId="0" fillId="3" borderId="2" xfId="0" applyNumberFormat="1" applyFill="1" applyBorder="1"/>
    <xf numFmtId="0" fontId="20" fillId="0" borderId="0" xfId="0" applyFont="1"/>
    <xf numFmtId="165" fontId="23" fillId="0" borderId="0" xfId="1" applyNumberFormat="1" applyFont="1"/>
    <xf numFmtId="0" fontId="19" fillId="4" borderId="0" xfId="0" applyFont="1" applyFill="1"/>
    <xf numFmtId="0" fontId="19" fillId="0" borderId="0" xfId="0" applyFont="1"/>
    <xf numFmtId="0" fontId="0" fillId="2" borderId="2" xfId="0" applyFill="1" applyBorder="1"/>
    <xf numFmtId="10" fontId="0" fillId="2" borderId="2" xfId="0" applyNumberFormat="1" applyFill="1" applyBorder="1"/>
    <xf numFmtId="0" fontId="19" fillId="4" borderId="1" xfId="0" applyFont="1" applyFill="1" applyBorder="1"/>
    <xf numFmtId="165" fontId="24" fillId="2" borderId="2" xfId="1" applyNumberFormat="1" applyFont="1" applyFill="1" applyBorder="1"/>
    <xf numFmtId="0" fontId="30" fillId="0" borderId="0" xfId="0" applyFont="1" applyAlignment="1">
      <alignment horizontal="left"/>
    </xf>
    <xf numFmtId="0" fontId="2" fillId="0" borderId="0" xfId="0" applyFont="1"/>
    <xf numFmtId="0" fontId="30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165" fontId="0" fillId="2" borderId="2" xfId="1" applyNumberFormat="1" applyFont="1" applyFill="1" applyBorder="1"/>
    <xf numFmtId="165" fontId="0" fillId="0" borderId="2" xfId="0" applyNumberFormat="1" applyBorder="1"/>
    <xf numFmtId="165" fontId="2" fillId="0" borderId="2" xfId="0" applyNumberFormat="1" applyFont="1" applyBorder="1"/>
    <xf numFmtId="165" fontId="26" fillId="0" borderId="2" xfId="1" applyNumberFormat="1" applyFont="1" applyFill="1" applyBorder="1" applyAlignment="1"/>
    <xf numFmtId="0" fontId="26" fillId="0" borderId="0" xfId="0" applyFont="1" applyAlignment="1">
      <alignment horizontal="left"/>
    </xf>
    <xf numFmtId="0" fontId="0" fillId="0" borderId="0" xfId="0" applyAlignment="1">
      <alignment horizontal="left" vertical="center" indent="1"/>
    </xf>
    <xf numFmtId="165" fontId="0" fillId="0" borderId="23" xfId="1" applyNumberFormat="1" applyFont="1" applyFill="1" applyBorder="1"/>
    <xf numFmtId="0" fontId="2" fillId="0" borderId="0" xfId="0" applyFont="1" applyAlignment="1">
      <alignment horizontal="left"/>
    </xf>
    <xf numFmtId="165" fontId="2" fillId="0" borderId="2" xfId="1" applyNumberFormat="1" applyFont="1" applyFill="1" applyBorder="1"/>
    <xf numFmtId="0" fontId="0" fillId="0" borderId="0" xfId="0" applyAlignment="1">
      <alignment horizontal="left" vertical="center" indent="2"/>
    </xf>
    <xf numFmtId="165" fontId="0" fillId="0" borderId="0" xfId="1" applyNumberFormat="1" applyFont="1" applyFill="1" applyBorder="1"/>
    <xf numFmtId="0" fontId="2" fillId="0" borderId="2" xfId="0" applyFont="1" applyBorder="1"/>
    <xf numFmtId="165" fontId="0" fillId="0" borderId="22" xfId="1" applyNumberFormat="1" applyFont="1" applyFill="1" applyBorder="1"/>
    <xf numFmtId="165" fontId="0" fillId="0" borderId="24" xfId="0" applyNumberFormat="1" applyBorder="1"/>
    <xf numFmtId="167" fontId="0" fillId="2" borderId="25" xfId="2" applyNumberFormat="1" applyFont="1" applyFill="1" applyBorder="1" applyAlignment="1"/>
    <xf numFmtId="165" fontId="0" fillId="0" borderId="24" xfId="1" applyNumberFormat="1" applyFont="1" applyBorder="1"/>
    <xf numFmtId="167" fontId="0" fillId="0" borderId="2" xfId="2" applyNumberFormat="1" applyFont="1" applyBorder="1"/>
    <xf numFmtId="9" fontId="23" fillId="0" borderId="0" xfId="2" applyFont="1" applyFill="1" applyBorder="1" applyAlignment="1"/>
    <xf numFmtId="167" fontId="23" fillId="0" borderId="26" xfId="2" applyNumberFormat="1" applyFont="1" applyFill="1" applyBorder="1" applyAlignment="1"/>
    <xf numFmtId="0" fontId="23" fillId="0" borderId="0" xfId="0" applyFont="1" applyAlignment="1">
      <alignment horizontal="left"/>
    </xf>
    <xf numFmtId="165" fontId="26" fillId="0" borderId="24" xfId="1" applyNumberFormat="1" applyFont="1" applyFill="1" applyBorder="1"/>
    <xf numFmtId="165" fontId="26" fillId="0" borderId="2" xfId="1" applyNumberFormat="1" applyFont="1" applyFill="1" applyBorder="1"/>
    <xf numFmtId="165" fontId="2" fillId="0" borderId="2" xfId="1" applyNumberFormat="1" applyFont="1" applyBorder="1" applyAlignment="1"/>
    <xf numFmtId="165" fontId="2" fillId="0" borderId="0" xfId="1" applyNumberFormat="1" applyFont="1" applyBorder="1" applyAlignment="1"/>
    <xf numFmtId="0" fontId="24" fillId="0" borderId="0" xfId="0" applyFont="1" applyAlignment="1">
      <alignment horizontal="left"/>
    </xf>
    <xf numFmtId="0" fontId="0" fillId="0" borderId="3" xfId="0" applyBorder="1"/>
    <xf numFmtId="165" fontId="26" fillId="2" borderId="2" xfId="1" applyNumberFormat="1" applyFont="1" applyFill="1" applyBorder="1"/>
    <xf numFmtId="165" fontId="0" fillId="2" borderId="2" xfId="4" applyNumberFormat="1" applyFont="1" applyFill="1" applyBorder="1" applyAlignment="1">
      <alignment horizontal="right" indent="2"/>
    </xf>
    <xf numFmtId="165" fontId="0" fillId="0" borderId="2" xfId="1" applyNumberFormat="1" applyFont="1" applyFill="1" applyBorder="1" applyAlignment="1">
      <alignment horizontal="right" indent="2"/>
    </xf>
    <xf numFmtId="165" fontId="0" fillId="0" borderId="2" xfId="4" applyNumberFormat="1" applyFont="1" applyFill="1" applyBorder="1" applyAlignment="1">
      <alignment horizontal="right" indent="2"/>
    </xf>
    <xf numFmtId="165" fontId="0" fillId="0" borderId="0" xfId="4" applyNumberFormat="1" applyFont="1" applyFill="1" applyBorder="1" applyAlignment="1">
      <alignment horizontal="right" indent="2"/>
    </xf>
    <xf numFmtId="165" fontId="0" fillId="0" borderId="0" xfId="1" applyNumberFormat="1" applyFont="1" applyFill="1" applyBorder="1" applyAlignment="1">
      <alignment horizontal="right" indent="2"/>
    </xf>
    <xf numFmtId="9" fontId="23" fillId="0" borderId="0" xfId="2" applyFont="1" applyBorder="1"/>
    <xf numFmtId="9" fontId="0" fillId="0" borderId="0" xfId="0" applyNumberFormat="1"/>
    <xf numFmtId="166" fontId="0" fillId="0" borderId="0" xfId="1" applyNumberFormat="1" applyFont="1" applyBorder="1"/>
    <xf numFmtId="164" fontId="0" fillId="2" borderId="2" xfId="1" applyNumberFormat="1" applyFont="1" applyFill="1" applyBorder="1"/>
    <xf numFmtId="165" fontId="31" fillId="0" borderId="2" xfId="1" applyNumberFormat="1" applyFont="1" applyFill="1" applyBorder="1"/>
    <xf numFmtId="0" fontId="31" fillId="0" borderId="0" xfId="0" applyFont="1" applyAlignment="1">
      <alignment horizontal="left"/>
    </xf>
    <xf numFmtId="164" fontId="2" fillId="0" borderId="2" xfId="1" applyNumberFormat="1" applyFont="1" applyFill="1" applyBorder="1"/>
    <xf numFmtId="165" fontId="24" fillId="0" borderId="2" xfId="1" applyNumberFormat="1" applyFont="1" applyBorder="1"/>
    <xf numFmtId="167" fontId="23" fillId="0" borderId="2" xfId="2" applyNumberFormat="1" applyFont="1" applyFill="1" applyBorder="1"/>
    <xf numFmtId="164" fontId="2" fillId="0" borderId="2" xfId="1" applyNumberFormat="1" applyFont="1" applyBorder="1"/>
    <xf numFmtId="167" fontId="30" fillId="0" borderId="2" xfId="2" applyNumberFormat="1" applyFont="1" applyFill="1" applyBorder="1"/>
    <xf numFmtId="164" fontId="0" fillId="0" borderId="0" xfId="1" applyNumberFormat="1" applyFont="1" applyBorder="1"/>
    <xf numFmtId="165" fontId="23" fillId="0" borderId="0" xfId="0" applyNumberFormat="1" applyFont="1"/>
    <xf numFmtId="0" fontId="19" fillId="4" borderId="1" xfId="0" applyFont="1" applyFill="1" applyBorder="1" applyAlignment="1">
      <alignment horizontal="center"/>
    </xf>
    <xf numFmtId="0" fontId="24" fillId="0" borderId="0" xfId="0" applyFont="1"/>
    <xf numFmtId="0" fontId="24" fillId="0" borderId="2" xfId="0" applyFont="1" applyBorder="1"/>
    <xf numFmtId="165" fontId="31" fillId="0" borderId="26" xfId="1" applyNumberFormat="1" applyFont="1" applyFill="1" applyBorder="1" applyAlignment="1"/>
    <xf numFmtId="165" fontId="0" fillId="0" borderId="0" xfId="1" applyNumberFormat="1" applyFont="1" applyBorder="1" applyAlignment="1"/>
    <xf numFmtId="0" fontId="0" fillId="0" borderId="1" xfId="0" applyBorder="1" applyAlignment="1">
      <alignment horizontal="left"/>
    </xf>
    <xf numFmtId="165" fontId="0" fillId="2" borderId="12" xfId="1" applyNumberFormat="1" applyFont="1" applyFill="1" applyBorder="1"/>
    <xf numFmtId="165" fontId="27" fillId="0" borderId="2" xfId="1" applyNumberFormat="1" applyFont="1" applyFill="1" applyBorder="1"/>
    <xf numFmtId="165" fontId="30" fillId="0" borderId="2" xfId="1" applyNumberFormat="1" applyFont="1" applyBorder="1"/>
    <xf numFmtId="0" fontId="0" fillId="38" borderId="0" xfId="0" applyFill="1"/>
    <xf numFmtId="0" fontId="0" fillId="3" borderId="0" xfId="0" applyFill="1"/>
    <xf numFmtId="167" fontId="24" fillId="0" borderId="26" xfId="2" applyNumberFormat="1" applyFont="1" applyFill="1" applyBorder="1" applyAlignment="1"/>
    <xf numFmtId="0" fontId="23" fillId="0" borderId="0" xfId="0" applyFont="1"/>
    <xf numFmtId="0" fontId="26" fillId="0" borderId="0" xfId="0" applyFont="1"/>
    <xf numFmtId="0" fontId="31" fillId="0" borderId="0" xfId="0" applyFont="1"/>
    <xf numFmtId="0" fontId="29" fillId="0" borderId="0" xfId="0" applyFont="1"/>
    <xf numFmtId="167" fontId="23" fillId="0" borderId="2" xfId="2" applyNumberFormat="1" applyFont="1" applyBorder="1"/>
    <xf numFmtId="165" fontId="28" fillId="0" borderId="11" xfId="1" applyNumberFormat="1" applyFont="1" applyBorder="1"/>
    <xf numFmtId="0" fontId="0" fillId="0" borderId="5" xfId="0" applyBorder="1"/>
    <xf numFmtId="165" fontId="0" fillId="0" borderId="6" xfId="1" applyNumberFormat="1" applyFont="1" applyBorder="1"/>
    <xf numFmtId="165" fontId="19" fillId="39" borderId="9" xfId="1" applyNumberFormat="1" applyFont="1" applyFill="1" applyBorder="1"/>
    <xf numFmtId="165" fontId="19" fillId="39" borderId="10" xfId="1" applyNumberFormat="1" applyFont="1" applyFill="1" applyBorder="1"/>
    <xf numFmtId="165" fontId="19" fillId="39" borderId="11" xfId="1" applyNumberFormat="1" applyFont="1" applyFill="1" applyBorder="1"/>
    <xf numFmtId="43" fontId="19" fillId="39" borderId="4" xfId="1" applyFont="1" applyFill="1" applyBorder="1"/>
    <xf numFmtId="43" fontId="19" fillId="39" borderId="5" xfId="1" applyFont="1" applyFill="1" applyBorder="1"/>
    <xf numFmtId="43" fontId="19" fillId="39" borderId="6" xfId="1" applyFont="1" applyFill="1" applyBorder="1"/>
    <xf numFmtId="165" fontId="28" fillId="0" borderId="0" xfId="1" applyNumberFormat="1" applyFont="1" applyBorder="1"/>
    <xf numFmtId="165" fontId="28" fillId="0" borderId="8" xfId="1" applyNumberFormat="1" applyFont="1" applyBorder="1"/>
    <xf numFmtId="165" fontId="3" fillId="0" borderId="9" xfId="1" applyNumberFormat="1" applyFont="1" applyBorder="1"/>
    <xf numFmtId="165" fontId="3" fillId="0" borderId="10" xfId="1" applyNumberFormat="1" applyFont="1" applyBorder="1"/>
    <xf numFmtId="165" fontId="3" fillId="0" borderId="11" xfId="1" applyNumberFormat="1" applyFont="1" applyBorder="1"/>
    <xf numFmtId="165" fontId="24" fillId="0" borderId="4" xfId="1" applyNumberFormat="1" applyFont="1" applyBorder="1"/>
    <xf numFmtId="165" fontId="24" fillId="0" borderId="7" xfId="1" applyNumberFormat="1" applyFont="1" applyBorder="1"/>
    <xf numFmtId="0" fontId="0" fillId="0" borderId="4" xfId="0" applyBorder="1"/>
    <xf numFmtId="0" fontId="0" fillId="0" borderId="6" xfId="0" applyBorder="1"/>
    <xf numFmtId="165" fontId="0" fillId="0" borderId="4" xfId="1" applyNumberFormat="1" applyFont="1" applyFill="1" applyBorder="1"/>
    <xf numFmtId="165" fontId="24" fillId="0" borderId="5" xfId="1" applyNumberFormat="1" applyFont="1" applyBorder="1"/>
    <xf numFmtId="165" fontId="24" fillId="0" borderId="10" xfId="1" applyNumberFormat="1" applyFont="1" applyBorder="1"/>
    <xf numFmtId="165" fontId="24" fillId="0" borderId="9" xfId="1" applyNumberFormat="1" applyFont="1" applyBorder="1"/>
    <xf numFmtId="165" fontId="23" fillId="0" borderId="9" xfId="1" applyNumberFormat="1" applyFont="1" applyBorder="1"/>
    <xf numFmtId="43" fontId="19" fillId="39" borderId="9" xfId="1" applyFont="1" applyFill="1" applyBorder="1"/>
    <xf numFmtId="43" fontId="0" fillId="0" borderId="0" xfId="1" applyFont="1"/>
    <xf numFmtId="164" fontId="0" fillId="0" borderId="7" xfId="1" applyNumberFormat="1" applyFont="1" applyBorder="1"/>
    <xf numFmtId="164" fontId="0" fillId="0" borderId="4" xfId="1" applyNumberFormat="1" applyFont="1" applyBorder="1"/>
    <xf numFmtId="164" fontId="0" fillId="0" borderId="9" xfId="1" applyNumberFormat="1" applyFont="1" applyBorder="1"/>
    <xf numFmtId="168" fontId="0" fillId="0" borderId="4" xfId="1" applyNumberFormat="1" applyFont="1" applyBorder="1"/>
    <xf numFmtId="168" fontId="0" fillId="0" borderId="7" xfId="1" applyNumberFormat="1" applyFont="1" applyBorder="1"/>
    <xf numFmtId="165" fontId="23" fillId="0" borderId="7" xfId="1" applyNumberFormat="1" applyFont="1" applyBorder="1"/>
    <xf numFmtId="165" fontId="24" fillId="0" borderId="26" xfId="1" applyNumberFormat="1" applyFont="1" applyFill="1" applyBorder="1" applyAlignment="1"/>
    <xf numFmtId="0" fontId="23" fillId="0" borderId="0" xfId="0" quotePrefix="1" applyFont="1"/>
    <xf numFmtId="0" fontId="26" fillId="0" borderId="0" xfId="0" quotePrefix="1" applyFont="1"/>
    <xf numFmtId="165" fontId="2" fillId="0" borderId="27" xfId="1" applyNumberFormat="1" applyFont="1" applyFill="1" applyBorder="1"/>
    <xf numFmtId="0" fontId="32" fillId="0" borderId="0" xfId="0" applyFont="1"/>
    <xf numFmtId="165" fontId="1" fillId="0" borderId="0" xfId="1" applyNumberFormat="1" applyFont="1"/>
    <xf numFmtId="165" fontId="2" fillId="0" borderId="30" xfId="1" applyNumberFormat="1" applyFont="1" applyBorder="1"/>
    <xf numFmtId="165" fontId="1" fillId="0" borderId="2" xfId="1" applyNumberFormat="1" applyFont="1" applyBorder="1"/>
    <xf numFmtId="165" fontId="1" fillId="0" borderId="4" xfId="1" applyNumberFormat="1" applyFont="1" applyBorder="1"/>
    <xf numFmtId="165" fontId="1" fillId="0" borderId="7" xfId="1" applyNumberFormat="1" applyFont="1" applyBorder="1"/>
    <xf numFmtId="165" fontId="3" fillId="0" borderId="6" xfId="0" applyNumberFormat="1" applyFont="1" applyBorder="1"/>
    <xf numFmtId="165" fontId="3" fillId="0" borderId="8" xfId="0" applyNumberFormat="1" applyFont="1" applyBorder="1"/>
    <xf numFmtId="165" fontId="3" fillId="0" borderId="32" xfId="0" applyNumberFormat="1" applyFont="1" applyBorder="1"/>
    <xf numFmtId="9" fontId="0" fillId="0" borderId="5" xfId="2" applyFont="1" applyBorder="1"/>
    <xf numFmtId="9" fontId="0" fillId="0" borderId="0" xfId="2" applyFont="1" applyBorder="1"/>
    <xf numFmtId="9" fontId="2" fillId="0" borderId="31" xfId="2" applyFont="1" applyBorder="1"/>
    <xf numFmtId="165" fontId="2" fillId="0" borderId="0" xfId="1" applyNumberFormat="1" applyFont="1" applyBorder="1"/>
    <xf numFmtId="9" fontId="2" fillId="0" borderId="0" xfId="2" applyFont="1" applyBorder="1"/>
    <xf numFmtId="165" fontId="3" fillId="0" borderId="0" xfId="0" applyNumberFormat="1" applyFont="1"/>
    <xf numFmtId="165" fontId="1" fillId="0" borderId="28" xfId="1" applyNumberFormat="1" applyFont="1" applyBorder="1"/>
    <xf numFmtId="165" fontId="29" fillId="0" borderId="28" xfId="1" applyNumberFormat="1" applyFont="1" applyBorder="1"/>
    <xf numFmtId="165" fontId="1" fillId="0" borderId="2" xfId="1" applyNumberFormat="1" applyFont="1" applyFill="1" applyBorder="1"/>
    <xf numFmtId="169" fontId="25" fillId="0" borderId="0" xfId="1" applyNumberFormat="1" applyFont="1" applyAlignment="1">
      <alignment horizontal="left" vertical="center"/>
    </xf>
    <xf numFmtId="0" fontId="32" fillId="0" borderId="0" xfId="0" applyFont="1" applyAlignment="1">
      <alignment horizontal="left"/>
    </xf>
    <xf numFmtId="165" fontId="31" fillId="2" borderId="2" xfId="1" applyNumberFormat="1" applyFont="1" applyFill="1" applyBorder="1"/>
    <xf numFmtId="0" fontId="0" fillId="38" borderId="2" xfId="0" applyFill="1" applyBorder="1"/>
    <xf numFmtId="10" fontId="0" fillId="0" borderId="0" xfId="0" applyNumberFormat="1"/>
    <xf numFmtId="10" fontId="0" fillId="0" borderId="0" xfId="2" applyNumberFormat="1" applyFont="1"/>
    <xf numFmtId="165" fontId="2" fillId="0" borderId="2" xfId="1" applyNumberFormat="1" applyFont="1" applyFill="1" applyBorder="1" applyAlignment="1">
      <alignment horizontal="center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12" xfId="0" applyFill="1" applyBorder="1" applyAlignment="1">
      <alignment horizontal="left"/>
    </xf>
  </cellXfs>
  <cellStyles count="50">
    <cellStyle name="20 % – uthevingsfarge 1" xfId="27" builtinId="30" customBuiltin="1"/>
    <cellStyle name="20 % – uthevingsfarge 2" xfId="31" builtinId="34" customBuiltin="1"/>
    <cellStyle name="20 % – uthevingsfarge 3" xfId="35" builtinId="38" customBuiltin="1"/>
    <cellStyle name="20 % – uthevingsfarge 4" xfId="39" builtinId="42" customBuiltin="1"/>
    <cellStyle name="20 % – uthevingsfarge 5" xfId="43" builtinId="46" customBuiltin="1"/>
    <cellStyle name="20 % – uthevingsfarge 6" xfId="47" builtinId="50" customBuiltin="1"/>
    <cellStyle name="40 % – uthevingsfarge 1" xfId="28" builtinId="31" customBuiltin="1"/>
    <cellStyle name="40 % – uthevingsfarge 2" xfId="32" builtinId="35" customBuiltin="1"/>
    <cellStyle name="40 % – uthevingsfarge 3" xfId="36" builtinId="39" customBuiltin="1"/>
    <cellStyle name="40 % – uthevingsfarge 4" xfId="40" builtinId="43" customBuiltin="1"/>
    <cellStyle name="40 % – uthevingsfarge 5" xfId="44" builtinId="47" customBuiltin="1"/>
    <cellStyle name="40 % – uthevingsfarge 6" xfId="48" builtinId="51" customBuiltin="1"/>
    <cellStyle name="60 % – uthevingsfarge 1" xfId="29" builtinId="32" customBuiltin="1"/>
    <cellStyle name="60 % – uthevingsfarge 2" xfId="33" builtinId="36" customBuiltin="1"/>
    <cellStyle name="60 % – uthevingsfarge 3" xfId="37" builtinId="40" customBuiltin="1"/>
    <cellStyle name="60 % – uthevingsfarge 4" xfId="41" builtinId="44" customBuiltin="1"/>
    <cellStyle name="60 % – uthevingsfarge 5" xfId="45" builtinId="48" customBuiltin="1"/>
    <cellStyle name="60 % – uthevingsfarge 6" xfId="49" builtinId="52" customBuiltin="1"/>
    <cellStyle name="Beregning" xfId="19" builtinId="22" customBuiltin="1"/>
    <cellStyle name="Dårlig" xfId="15" builtinId="27" customBuiltin="1"/>
    <cellStyle name="Forklarende tekst" xfId="24" builtinId="53" customBuiltin="1"/>
    <cellStyle name="God" xfId="14" builtinId="26" customBuiltin="1"/>
    <cellStyle name="Inndata" xfId="17" builtinId="20" customBuiltin="1"/>
    <cellStyle name="Koblet celle" xfId="20" builtinId="24" customBuiltin="1"/>
    <cellStyle name="Komma" xfId="1" builtinId="3"/>
    <cellStyle name="Komma 2" xfId="3" xr:uid="{4AC96855-0953-457E-8395-D05C1AB45338}"/>
    <cellStyle name="Komma 2 2" xfId="6" xr:uid="{F8A1B1E0-8D70-4BE8-A90C-CAE51618BD6B}"/>
    <cellStyle name="Komma 3" xfId="4" xr:uid="{D9C94130-E03D-4EEA-A0A4-2884C27B0374}"/>
    <cellStyle name="Komma 3 2" xfId="7" xr:uid="{14C2874D-D4A9-44F1-B63D-F93F6D28BC82}"/>
    <cellStyle name="Komma 4" xfId="5" xr:uid="{4822A01F-20F5-474F-952E-D9F9258353DA}"/>
    <cellStyle name="Kontrollcelle" xfId="21" builtinId="23" customBuiltin="1"/>
    <cellStyle name="Merknad" xfId="23" builtinId="10" customBuiltin="1"/>
    <cellStyle name="Normal" xfId="0" builtinId="0"/>
    <cellStyle name="Nøytral" xfId="16" builtinId="28" customBuiltin="1"/>
    <cellStyle name="Overskrift 1" xfId="10" builtinId="16" customBuiltin="1"/>
    <cellStyle name="Overskrift 2" xfId="11" builtinId="17" customBuiltin="1"/>
    <cellStyle name="Overskrift 3" xfId="12" builtinId="18" customBuiltin="1"/>
    <cellStyle name="Overskrift 4" xfId="13" builtinId="19" customBuiltin="1"/>
    <cellStyle name="Prosent" xfId="2" builtinId="5"/>
    <cellStyle name="Tittel" xfId="9" builtinId="15" customBuiltin="1"/>
    <cellStyle name="Totalt" xfId="25" builtinId="25" customBuiltin="1"/>
    <cellStyle name="Utdata" xfId="18" builtinId="21" customBuiltin="1"/>
    <cellStyle name="Uthevingsfarge1" xfId="26" builtinId="29" customBuiltin="1"/>
    <cellStyle name="Uthevingsfarge2" xfId="30" builtinId="33" customBuiltin="1"/>
    <cellStyle name="Uthevingsfarge3" xfId="34" builtinId="37" customBuiltin="1"/>
    <cellStyle name="Uthevingsfarge4" xfId="38" builtinId="41" customBuiltin="1"/>
    <cellStyle name="Uthevingsfarge5" xfId="42" builtinId="45" customBuiltin="1"/>
    <cellStyle name="Uthevingsfarge6" xfId="46" builtinId="49" customBuiltin="1"/>
    <cellStyle name="Valuta 2" xfId="8" xr:uid="{E35E0ECA-67FF-4E35-8047-334EC180AFD9}"/>
    <cellStyle name="Varseltekst" xfId="2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2400" b="1"/>
              <a:t>Totale indirekte kostnader pr kostnadsbærer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Oppsummering!$A$28</c:f>
              <c:strCache>
                <c:ptCount val="1"/>
                <c:pt idx="0">
                  <c:v> IKT </c:v>
                </c:pt>
              </c:strCache>
            </c:strRef>
          </c:tx>
          <c:spPr>
            <a:solidFill>
              <a:schemeClr val="tx1"/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Oppsummering!$B$23:$F$23</c:f>
              <c:strCache>
                <c:ptCount val="5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  <c:pt idx="4">
                  <c:v> Museum </c:v>
                </c:pt>
              </c:strCache>
            </c:strRef>
          </c:cat>
          <c:val>
            <c:numRef>
              <c:f>Oppsummering!$B$28:$F$28</c:f>
              <c:numCache>
                <c:formatCode>_-* #\ ##0_-;\-* #\ ##0_-;_-* "-"??_-;_-@_-</c:formatCode>
                <c:ptCount val="5"/>
                <c:pt idx="0">
                  <c:v>55844421.117942885</c:v>
                </c:pt>
                <c:pt idx="3">
                  <c:v>27922210.558971439</c:v>
                </c:pt>
                <c:pt idx="4">
                  <c:v>12044875.14308572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B9-41EF-A478-7467DDCC9FE8}"/>
            </c:ext>
          </c:extLst>
        </c:ser>
        <c:ser>
          <c:idx val="2"/>
          <c:order val="1"/>
          <c:tx>
            <c:strRef>
              <c:f>Oppsummering!$A$29</c:f>
              <c:strCache>
                <c:ptCount val="1"/>
                <c:pt idx="0">
                  <c:v> ØKHR 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Oppsummering!$B$23:$F$23</c:f>
              <c:strCache>
                <c:ptCount val="5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  <c:pt idx="4">
                  <c:v> Museum </c:v>
                </c:pt>
              </c:strCache>
            </c:strRef>
          </c:cat>
          <c:val>
            <c:numRef>
              <c:f>Oppsummering!$B$29:$F$29</c:f>
              <c:numCache>
                <c:formatCode>_-* #\ ##0_-;\-* #\ ##0_-;_-* "-"??_-;_-@_-</c:formatCode>
                <c:ptCount val="5"/>
                <c:pt idx="0">
                  <c:v>42412461.355028592</c:v>
                </c:pt>
                <c:pt idx="4">
                  <c:v>6098523.8549714321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B9-41EF-A478-7467DDCC9FE8}"/>
            </c:ext>
          </c:extLst>
        </c:ser>
        <c:ser>
          <c:idx val="1"/>
          <c:order val="2"/>
          <c:tx>
            <c:strRef>
              <c:f>Oppsummering!$A$30</c:f>
              <c:strCache>
                <c:ptCount val="1"/>
                <c:pt idx="0">
                  <c:v> Eiendom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Oppsummering!$B$23:$F$23</c:f>
              <c:strCache>
                <c:ptCount val="5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  <c:pt idx="4">
                  <c:v> Museum </c:v>
                </c:pt>
              </c:strCache>
            </c:strRef>
          </c:cat>
          <c:val>
            <c:numRef>
              <c:f>Oppsummering!$B$30:$F$30</c:f>
              <c:numCache>
                <c:formatCode>_-* #\ ##0_-;\-* #\ ##0_-;_-* "-"??_-;_-@_-</c:formatCode>
                <c:ptCount val="5"/>
                <c:pt idx="0">
                  <c:v>82051875.881134748</c:v>
                </c:pt>
                <c:pt idx="1">
                  <c:v>49456026.440067545</c:v>
                </c:pt>
                <c:pt idx="2">
                  <c:v>66598759.531256601</c:v>
                </c:pt>
                <c:pt idx="3">
                  <c:v>30914603.474590734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B9-41EF-A478-7467DDCC9FE8}"/>
            </c:ext>
          </c:extLst>
        </c:ser>
        <c:ser>
          <c:idx val="6"/>
          <c:order val="3"/>
          <c:tx>
            <c:strRef>
              <c:f>Oppsummering!$A$25</c:f>
              <c:strCache>
                <c:ptCount val="1"/>
                <c:pt idx="0">
                  <c:v> Bibliotek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Oppsummering!$B$23:$F$23</c:f>
              <c:strCache>
                <c:ptCount val="5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  <c:pt idx="4">
                  <c:v> Museum </c:v>
                </c:pt>
              </c:strCache>
            </c:strRef>
          </c:cat>
          <c:val>
            <c:numRef>
              <c:f>Oppsummering!$B$25:$F$25</c:f>
              <c:numCache>
                <c:formatCode>_-* #\ ##0_-;\-* #\ ##0_-;_-* "-"??_-;_-@_-</c:formatCode>
                <c:ptCount val="5"/>
                <c:pt idx="1">
                  <c:v>4631967.5949935084</c:v>
                </c:pt>
                <c:pt idx="2">
                  <c:v>6237526.9147305219</c:v>
                </c:pt>
                <c:pt idx="3">
                  <c:v>26640917.915990267</c:v>
                </c:pt>
                <c:pt idx="4">
                  <c:v>5393654.0742857167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B9-41EF-A478-7467DDCC9FE8}"/>
            </c:ext>
          </c:extLst>
        </c:ser>
        <c:ser>
          <c:idx val="4"/>
          <c:order val="4"/>
          <c:tx>
            <c:strRef>
              <c:f>Oppsummering!$A$27</c:f>
              <c:strCache>
                <c:ptCount val="1"/>
                <c:pt idx="0">
                  <c:v> Studieadm 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Oppsummering!$B$23:$F$23</c:f>
              <c:strCache>
                <c:ptCount val="5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  <c:pt idx="4">
                  <c:v> Museum </c:v>
                </c:pt>
              </c:strCache>
            </c:strRef>
          </c:cat>
          <c:val>
            <c:numRef>
              <c:f>Oppsummering!$B$27:$F$27</c:f>
              <c:numCache>
                <c:formatCode>General</c:formatCode>
                <c:ptCount val="5"/>
                <c:pt idx="3" formatCode="_-* #\ ##0_-;\-* #\ ##0_-;_-* &quot;-&quot;??_-;_-@_-">
                  <c:v>70986424.449999928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B9-41EF-A478-7467DDCC9FE8}"/>
            </c:ext>
          </c:extLst>
        </c:ser>
        <c:ser>
          <c:idx val="0"/>
          <c:order val="5"/>
          <c:tx>
            <c:strRef>
              <c:f>Oppsummering!$A$31</c:f>
              <c:strCache>
                <c:ptCount val="1"/>
                <c:pt idx="0">
                  <c:v> Øvrig felles </c:v>
                </c:pt>
              </c:strCache>
            </c:strRef>
          </c:tx>
          <c:spPr>
            <a:solidFill>
              <a:srgbClr val="92D050"/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Oppsummering!$B$23:$F$23</c:f>
              <c:strCache>
                <c:ptCount val="5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  <c:pt idx="4">
                  <c:v> Museum </c:v>
                </c:pt>
              </c:strCache>
            </c:strRef>
          </c:cat>
          <c:val>
            <c:numRef>
              <c:f>Oppsummering!$B$31:$F$31</c:f>
              <c:numCache>
                <c:formatCode>_-* #\ ##0_-;\-* #\ ##0_-;_-* "-"??_-;_-@_-</c:formatCode>
                <c:ptCount val="5"/>
                <c:pt idx="1">
                  <c:v>8432420.662765719</c:v>
                </c:pt>
                <c:pt idx="2">
                  <c:v>11355314.94157715</c:v>
                </c:pt>
                <c:pt idx="3">
                  <c:v>1939974.0788571443</c:v>
                </c:pt>
                <c:pt idx="4">
                  <c:v>3124245.8368000025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B9-41EF-A478-7467DDCC9FE8}"/>
            </c:ext>
          </c:extLst>
        </c:ser>
        <c:ser>
          <c:idx val="5"/>
          <c:order val="6"/>
          <c:tx>
            <c:strRef>
              <c:f>Oppsummering!$A$26</c:f>
              <c:strCache>
                <c:ptCount val="1"/>
                <c:pt idx="0">
                  <c:v> Forskningsadm </c:v>
                </c:pt>
              </c:strCache>
            </c:strRef>
          </c:tx>
          <c:spPr>
            <a:solidFill>
              <a:srgbClr val="FFC000"/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Oppsummering!$B$23:$F$23</c:f>
              <c:strCache>
                <c:ptCount val="5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  <c:pt idx="4">
                  <c:v> Museum </c:v>
                </c:pt>
              </c:strCache>
            </c:strRef>
          </c:cat>
          <c:val>
            <c:numRef>
              <c:f>Oppsummering!$B$26:$F$26</c:f>
              <c:numCache>
                <c:formatCode>_-* #\ ##0_-;\-* #\ ##0_-;_-* "-"??_-;_-@_-</c:formatCode>
                <c:ptCount val="5"/>
                <c:pt idx="1">
                  <c:v>13435024.711371427</c:v>
                </c:pt>
                <c:pt idx="4">
                  <c:v>1931833.6186285713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B9-41EF-A478-7467DDCC9FE8}"/>
            </c:ext>
          </c:extLst>
        </c:ser>
        <c:ser>
          <c:idx val="7"/>
          <c:order val="7"/>
          <c:tx>
            <c:strRef>
              <c:f>Oppsummering!$A$24</c:f>
              <c:strCache>
                <c:ptCount val="1"/>
                <c:pt idx="0">
                  <c:v> Fakultet og senter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Oppsummering!$B$23:$F$23</c:f>
              <c:strCache>
                <c:ptCount val="5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  <c:pt idx="4">
                  <c:v> Museum </c:v>
                </c:pt>
              </c:strCache>
            </c:strRef>
          </c:cat>
          <c:val>
            <c:numRef>
              <c:f>Oppsummering!$B$24:$F$24</c:f>
              <c:numCache>
                <c:formatCode>_-* #\ ##0_-;\-* #\ ##0_-;_-* "-"??_-;_-@_-</c:formatCode>
                <c:ptCount val="5"/>
                <c:pt idx="1">
                  <c:v>58532688.04097718</c:v>
                </c:pt>
                <c:pt idx="2">
                  <c:v>78821625.920211598</c:v>
                </c:pt>
                <c:pt idx="3">
                  <c:v>134661092.11881256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9-41EF-A478-7467DDCC9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100"/>
        <c:axId val="1167590928"/>
        <c:axId val="1167588304"/>
      </c:barChart>
      <c:catAx>
        <c:axId val="116759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7588304"/>
        <c:crosses val="autoZero"/>
        <c:auto val="1"/>
        <c:lblAlgn val="ctr"/>
        <c:lblOffset val="100"/>
        <c:noMultiLvlLbl val="0"/>
      </c:catAx>
      <c:valAx>
        <c:axId val="116758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6759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nb-NO" sz="18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Satser indirekte kostnader pr årsverk/student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012204266910437E-2"/>
          <c:y val="6.7081814398857978E-2"/>
          <c:w val="0.92871085142146714"/>
          <c:h val="0.841160349636666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Kostnadsfordeling!$B$66</c:f>
              <c:strCache>
                <c:ptCount val="1"/>
                <c:pt idx="0">
                  <c:v> IKT (arbeidsplass) </c:v>
                </c:pt>
              </c:strCache>
            </c:strRef>
          </c:tx>
          <c:spPr>
            <a:solidFill>
              <a:schemeClr val="tx1"/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Kostnadsfordeling!$A$67:$A$70</c:f>
              <c:strCache>
                <c:ptCount val="4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</c:strCache>
            </c:strRef>
          </c:cat>
          <c:val>
            <c:numRef>
              <c:f>Kostnadsfordeling!$B$67:$B$70</c:f>
              <c:numCache>
                <c:formatCode>_-* #\ ##0_-;\-* #\ ##0_-;_-* "-"??_-;_-@_-</c:formatCode>
                <c:ptCount val="4"/>
                <c:pt idx="0">
                  <c:v>68943.729775238127</c:v>
                </c:pt>
                <c:pt idx="1">
                  <c:v>68943.729775238127</c:v>
                </c:pt>
                <c:pt idx="2">
                  <c:v>68943.729775238127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59C9-42DE-8988-A85EBAB792BC}"/>
            </c:ext>
          </c:extLst>
        </c:ser>
        <c:ser>
          <c:idx val="1"/>
          <c:order val="1"/>
          <c:tx>
            <c:strRef>
              <c:f>Kostnadsfordeling!$C$66</c:f>
              <c:strCache>
                <c:ptCount val="1"/>
                <c:pt idx="0">
                  <c:v> ØKHR (arbeidsplass)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Kostnadsfordeling!$A$67:$A$70</c:f>
              <c:strCache>
                <c:ptCount val="4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</c:strCache>
            </c:strRef>
          </c:cat>
          <c:val>
            <c:numRef>
              <c:f>Kostnadsfordeling!$C$67:$C$70</c:f>
              <c:numCache>
                <c:formatCode>_-* #\ ##0_-;\-* #\ ##0_-;_-* "-"??_-;_-@_-</c:formatCode>
                <c:ptCount val="4"/>
                <c:pt idx="0">
                  <c:v>52361.063401269865</c:v>
                </c:pt>
                <c:pt idx="1">
                  <c:v>52361.063401269865</c:v>
                </c:pt>
                <c:pt idx="2">
                  <c:v>52361.063401269865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59C9-42DE-8988-A85EBAB792BC}"/>
            </c:ext>
          </c:extLst>
        </c:ser>
        <c:ser>
          <c:idx val="2"/>
          <c:order val="2"/>
          <c:tx>
            <c:strRef>
              <c:f>Kostnadsfordeling!$D$66</c:f>
              <c:strCache>
                <c:ptCount val="1"/>
                <c:pt idx="0">
                  <c:v> Eiendom (arbeidsplass)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Kostnadsfordeling!$A$67:$A$70</c:f>
              <c:strCache>
                <c:ptCount val="4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</c:strCache>
            </c:strRef>
          </c:cat>
          <c:val>
            <c:numRef>
              <c:f>Kostnadsfordeling!$D$67:$D$70</c:f>
              <c:numCache>
                <c:formatCode>_-* #\ ##0_-;\-* #\ ##0_-;_-* "-"??_-;_-@_-</c:formatCode>
                <c:ptCount val="4"/>
                <c:pt idx="0">
                  <c:v>101298.61219893179</c:v>
                </c:pt>
                <c:pt idx="1">
                  <c:v>101298.61219893179</c:v>
                </c:pt>
                <c:pt idx="2">
                  <c:v>101298.61219893179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59C9-42DE-8988-A85EBAB792BC}"/>
            </c:ext>
          </c:extLst>
        </c:ser>
        <c:ser>
          <c:idx val="7"/>
          <c:order val="3"/>
          <c:tx>
            <c:strRef>
              <c:f>Kostnadsfordeling!$I$66</c:f>
              <c:strCache>
                <c:ptCount val="1"/>
                <c:pt idx="0">
                  <c:v> IKT 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Kostnadsfordeling!$A$67:$A$70</c:f>
              <c:strCache>
                <c:ptCount val="4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</c:strCache>
            </c:strRef>
          </c:cat>
          <c:val>
            <c:numRef>
              <c:f>Kostnadsfordeling!$I$67:$I$70</c:f>
              <c:numCache>
                <c:formatCode>_-* #\ ##0_-;\-* #\ ##0_-;_-* "-"??_-;_-@_-</c:formatCode>
                <c:ptCount val="4"/>
                <c:pt idx="3">
                  <c:v>3722.9614078628583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59C9-42DE-8988-A85EBAB792BC}"/>
            </c:ext>
          </c:extLst>
        </c:ser>
        <c:ser>
          <c:idx val="8"/>
          <c:order val="4"/>
          <c:tx>
            <c:strRef>
              <c:f>Kostnadsfordeling!$J$66</c:f>
              <c:strCache>
                <c:ptCount val="1"/>
                <c:pt idx="0">
                  <c:v> ØKHR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Kostnadsfordeling!$A$67:$A$70</c:f>
              <c:strCache>
                <c:ptCount val="4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</c:strCache>
            </c:strRef>
          </c:cat>
          <c:val>
            <c:numRef>
              <c:f>Kostnadsfordeling!$J$67:$J$70</c:f>
              <c:numCache>
                <c:formatCode>_-* #\ ##0_-;\-* #\ ##0_-;_-* "-"??_-;_-@_-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2D-59C9-42DE-8988-A85EBAB792BC}"/>
            </c:ext>
          </c:extLst>
        </c:ser>
        <c:ser>
          <c:idx val="9"/>
          <c:order val="5"/>
          <c:tx>
            <c:strRef>
              <c:f>Kostnadsfordeling!$K$66</c:f>
              <c:strCache>
                <c:ptCount val="1"/>
                <c:pt idx="0">
                  <c:v> Eiendom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59C9-42DE-8988-A85EBAB792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Kostnadsfordeling!$A$67:$A$70</c:f>
              <c:strCache>
                <c:ptCount val="4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</c:strCache>
            </c:strRef>
          </c:cat>
          <c:val>
            <c:numRef>
              <c:f>Kostnadsfordeling!$K$67:$K$70</c:f>
              <c:numCache>
                <c:formatCode>_-* #\ ##0_-;\-* #\ ##0_-;_-* "-"??_-;_-@_-</c:formatCode>
                <c:ptCount val="4"/>
                <c:pt idx="1">
                  <c:v>151705.60257689431</c:v>
                </c:pt>
                <c:pt idx="2">
                  <c:v>151705.60257689431</c:v>
                </c:pt>
                <c:pt idx="3">
                  <c:v>4121.9471299454308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59C9-42DE-8988-A85EBAB792BC}"/>
            </c:ext>
          </c:extLst>
        </c:ser>
        <c:ser>
          <c:idx val="4"/>
          <c:order val="6"/>
          <c:tx>
            <c:strRef>
              <c:f>Kostnadsfordeling!$F$66</c:f>
              <c:strCache>
                <c:ptCount val="1"/>
                <c:pt idx="0">
                  <c:v> Bibliotek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Kostnadsfordeling!$A$67:$A$70</c:f>
              <c:strCache>
                <c:ptCount val="4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</c:strCache>
            </c:strRef>
          </c:cat>
          <c:val>
            <c:numRef>
              <c:f>Kostnadsfordeling!$F$67:$F$70</c:f>
              <c:numCache>
                <c:formatCode>_-* #\ ##0_-;\-* #\ ##0_-;_-* "-"??_-;_-@_-</c:formatCode>
                <c:ptCount val="4"/>
                <c:pt idx="1">
                  <c:v>14208.48955519481</c:v>
                </c:pt>
                <c:pt idx="2">
                  <c:v>14208.48955519481</c:v>
                </c:pt>
                <c:pt idx="3">
                  <c:v>3552.1223887987021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59C9-42DE-8988-A85EBAB792BC}"/>
            </c:ext>
          </c:extLst>
        </c:ser>
        <c:ser>
          <c:idx val="5"/>
          <c:order val="7"/>
          <c:tx>
            <c:strRef>
              <c:f>Kostnadsfordeling!$G$66</c:f>
              <c:strCache>
                <c:ptCount val="1"/>
                <c:pt idx="0">
                  <c:v> Forskningsadm 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Kostnadsfordeling!$A$67:$A$70</c:f>
              <c:strCache>
                <c:ptCount val="4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</c:strCache>
            </c:strRef>
          </c:cat>
          <c:val>
            <c:numRef>
              <c:f>Kostnadsfordeling!$G$67:$G$70</c:f>
              <c:numCache>
                <c:formatCode>_-* #\ ##0_-;\-* #\ ##0_-;_-* "-"??_-;_-@_-</c:formatCode>
                <c:ptCount val="4"/>
                <c:pt idx="1">
                  <c:v>41211.732243470637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59C9-42DE-8988-A85EBAB792BC}"/>
            </c:ext>
          </c:extLst>
        </c:ser>
        <c:ser>
          <c:idx val="6"/>
          <c:order val="8"/>
          <c:tx>
            <c:strRef>
              <c:f>Kostnadsfordeling!$H$66</c:f>
              <c:strCache>
                <c:ptCount val="1"/>
                <c:pt idx="0">
                  <c:v> Studieadm 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Kostnadsfordeling!$A$67:$A$70</c:f>
              <c:strCache>
                <c:ptCount val="4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</c:strCache>
            </c:strRef>
          </c:cat>
          <c:val>
            <c:numRef>
              <c:f>Kostnadsfordeling!$H$67:$H$70</c:f>
              <c:numCache>
                <c:formatCode>_-* #\ ##0_-;\-* #\ ##0_-;_-* "-"??_-;_-@_-</c:formatCode>
                <c:ptCount val="4"/>
                <c:pt idx="3">
                  <c:v>9464.856593333323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59C9-42DE-8988-A85EBAB792BC}"/>
            </c:ext>
          </c:extLst>
        </c:ser>
        <c:ser>
          <c:idx val="10"/>
          <c:order val="9"/>
          <c:tx>
            <c:strRef>
              <c:f>Kostnadsfordeling!$L$66</c:f>
              <c:strCache>
                <c:ptCount val="1"/>
                <c:pt idx="0">
                  <c:v> Øvrig felles 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Kostnadsfordeling!$A$67:$A$70</c:f>
              <c:strCache>
                <c:ptCount val="4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</c:strCache>
            </c:strRef>
          </c:cat>
          <c:val>
            <c:numRef>
              <c:f>Kostnadsfordeling!$L$67:$L$70</c:f>
              <c:numCache>
                <c:formatCode>_-* #\ ##0_-;\-* #\ ##0_-;_-* "-"??_-;_-@_-</c:formatCode>
                <c:ptCount val="4"/>
                <c:pt idx="1">
                  <c:v>25866.321051428586</c:v>
                </c:pt>
                <c:pt idx="2">
                  <c:v>25866.321051428586</c:v>
                </c:pt>
                <c:pt idx="3">
                  <c:v>258.66321051428594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59C9-42DE-8988-A85EBAB792BC}"/>
            </c:ext>
          </c:extLst>
        </c:ser>
        <c:ser>
          <c:idx val="3"/>
          <c:order val="10"/>
          <c:tx>
            <c:strRef>
              <c:f>Kostnadsfordeling!$E$66</c:f>
              <c:strCache>
                <c:ptCount val="1"/>
                <c:pt idx="0">
                  <c:v> Fakultet og senter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Kostnadsfordeling!$A$67:$A$70</c:f>
              <c:strCache>
                <c:ptCount val="4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</c:strCache>
            </c:strRef>
          </c:cat>
          <c:val>
            <c:numRef>
              <c:f>Kostnadsfordeling!$E$67:$E$70</c:f>
              <c:numCache>
                <c:formatCode>_-* #\ ##0_-;\-* #\ ##0_-;_-* "-"??_-;_-@_-</c:formatCode>
                <c:ptCount val="4"/>
                <c:pt idx="1">
                  <c:v>179548.12282508338</c:v>
                </c:pt>
                <c:pt idx="2">
                  <c:v>179548.12282508338</c:v>
                </c:pt>
                <c:pt idx="3">
                  <c:v>17954.812282508341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59C9-42DE-8988-A85EBAB79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"/>
        <c:overlap val="100"/>
        <c:axId val="404718152"/>
        <c:axId val="404714912"/>
      </c:barChart>
      <c:catAx>
        <c:axId val="40471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04714912"/>
        <c:crosses val="autoZero"/>
        <c:auto val="1"/>
        <c:lblAlgn val="ctr"/>
        <c:lblOffset val="100"/>
        <c:noMultiLvlLbl val="0"/>
      </c:catAx>
      <c:valAx>
        <c:axId val="40471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04718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nb-NO" sz="20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Satser indirekte kostnader pr time/studiepoeng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012204266910437E-2"/>
          <c:y val="6.7081814398857978E-2"/>
          <c:w val="0.92871085142146714"/>
          <c:h val="0.841160349636666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Kostnadsfordeling!$B$73</c:f>
              <c:strCache>
                <c:ptCount val="1"/>
                <c:pt idx="0">
                  <c:v> IKT (arbeidsplass) </c:v>
                </c:pt>
              </c:strCache>
            </c:strRef>
          </c:tx>
          <c:spPr>
            <a:solidFill>
              <a:schemeClr val="tx1"/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Kostnadsfordeling!$A$74:$A$77</c:f>
              <c:strCache>
                <c:ptCount val="4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</c:strCache>
            </c:strRef>
          </c:cat>
          <c:val>
            <c:numRef>
              <c:f>Kostnadsfordeling!$B$74:$B$77</c:f>
              <c:numCache>
                <c:formatCode>_-* #\ ##0_-;\-* #\ ##0_-;_-* "-"??_-;_-@_-</c:formatCode>
                <c:ptCount val="4"/>
                <c:pt idx="0">
                  <c:v>42.348728363168384</c:v>
                </c:pt>
                <c:pt idx="1">
                  <c:v>42.348728363168384</c:v>
                </c:pt>
                <c:pt idx="2">
                  <c:v>42.348728363168384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2-4926-945C-D0DDFA56C8B7}"/>
            </c:ext>
          </c:extLst>
        </c:ser>
        <c:ser>
          <c:idx val="1"/>
          <c:order val="1"/>
          <c:tx>
            <c:strRef>
              <c:f>Kostnadsfordeling!$C$73</c:f>
              <c:strCache>
                <c:ptCount val="1"/>
                <c:pt idx="0">
                  <c:v> ØKHR (arbeidsplass)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Kostnadsfordeling!$A$74:$A$77</c:f>
              <c:strCache>
                <c:ptCount val="4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</c:strCache>
            </c:strRef>
          </c:cat>
          <c:val>
            <c:numRef>
              <c:f>Kostnadsfordeling!$C$74:$C$77</c:f>
              <c:numCache>
                <c:formatCode>_-* #\ ##0_-;\-* #\ ##0_-;_-* "-"??_-;_-@_-</c:formatCode>
                <c:ptCount val="4"/>
                <c:pt idx="0">
                  <c:v>32.162815357045375</c:v>
                </c:pt>
                <c:pt idx="1">
                  <c:v>32.162815357045375</c:v>
                </c:pt>
                <c:pt idx="2">
                  <c:v>32.162815357045375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E2-4926-945C-D0DDFA56C8B7}"/>
            </c:ext>
          </c:extLst>
        </c:ser>
        <c:ser>
          <c:idx val="2"/>
          <c:order val="2"/>
          <c:tx>
            <c:strRef>
              <c:f>Kostnadsfordeling!$D$73</c:f>
              <c:strCache>
                <c:ptCount val="1"/>
                <c:pt idx="0">
                  <c:v> Eiendom (arbeidsplass)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Kostnadsfordeling!$A$74:$A$77</c:f>
              <c:strCache>
                <c:ptCount val="4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</c:strCache>
            </c:strRef>
          </c:cat>
          <c:val>
            <c:numRef>
              <c:f>Kostnadsfordeling!$D$74:$D$77</c:f>
              <c:numCache>
                <c:formatCode>_-* #\ ##0_-;\-* #\ ##0_-;_-* "-"??_-;_-@_-</c:formatCode>
                <c:ptCount val="4"/>
                <c:pt idx="0">
                  <c:v>62.222734765928621</c:v>
                </c:pt>
                <c:pt idx="1">
                  <c:v>62.222734765928621</c:v>
                </c:pt>
                <c:pt idx="2">
                  <c:v>62.222734765928621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E2-4926-945C-D0DDFA56C8B7}"/>
            </c:ext>
          </c:extLst>
        </c:ser>
        <c:ser>
          <c:idx val="7"/>
          <c:order val="3"/>
          <c:tx>
            <c:strRef>
              <c:f>Kostnadsfordeling!$I$73</c:f>
              <c:strCache>
                <c:ptCount val="1"/>
                <c:pt idx="0">
                  <c:v> IKT </c:v>
                </c:pt>
              </c:strCache>
            </c:strRef>
          </c:tx>
          <c:spPr>
            <a:solidFill>
              <a:schemeClr val="tx1"/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Kostnadsfordeling!$A$74:$A$77</c:f>
              <c:strCache>
                <c:ptCount val="4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</c:strCache>
            </c:strRef>
          </c:cat>
          <c:val>
            <c:numRef>
              <c:f>Kostnadsfordeling!$I$74:$I$77</c:f>
              <c:numCache>
                <c:formatCode>_-* #\ ##0_-;\-* #\ ##0_-;_-* "-"??_-;_-@_-</c:formatCode>
                <c:ptCount val="4"/>
                <c:pt idx="3">
                  <c:v>62.049356797714303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E2-4926-945C-D0DDFA56C8B7}"/>
            </c:ext>
          </c:extLst>
        </c:ser>
        <c:ser>
          <c:idx val="8"/>
          <c:order val="4"/>
          <c:tx>
            <c:strRef>
              <c:f>Kostnadsfordeling!$J$73</c:f>
              <c:strCache>
                <c:ptCount val="1"/>
                <c:pt idx="0">
                  <c:v> ØKHR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Kostnadsfordeling!$A$74:$A$77</c:f>
              <c:strCache>
                <c:ptCount val="4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</c:strCache>
            </c:strRef>
          </c:cat>
          <c:val>
            <c:numRef>
              <c:f>Kostnadsfordeling!$J$74:$J$77</c:f>
              <c:numCache>
                <c:formatCode>_-* #\ ##0_-;\-* #\ ##0_-;_-* "-"??_-;_-@_-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E4E2-4926-945C-D0DDFA56C8B7}"/>
            </c:ext>
          </c:extLst>
        </c:ser>
        <c:ser>
          <c:idx val="9"/>
          <c:order val="5"/>
          <c:tx>
            <c:strRef>
              <c:f>Kostnadsfordeling!$K$73</c:f>
              <c:strCache>
                <c:ptCount val="1"/>
                <c:pt idx="0">
                  <c:v> Eiendom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4E2-4926-945C-D0DDFA56C8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Kostnadsfordeling!$A$74:$A$77</c:f>
              <c:strCache>
                <c:ptCount val="4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</c:strCache>
            </c:strRef>
          </c:cat>
          <c:val>
            <c:numRef>
              <c:f>Kostnadsfordeling!$K$74:$K$77</c:f>
              <c:numCache>
                <c:formatCode>_-* #\ ##0_-;\-* #\ ##0_-;_-* "-"??_-;_-@_-</c:formatCode>
                <c:ptCount val="4"/>
                <c:pt idx="1">
                  <c:v>93.185259568116891</c:v>
                </c:pt>
                <c:pt idx="2">
                  <c:v>93.185259568116891</c:v>
                </c:pt>
                <c:pt idx="3">
                  <c:v>68.699118832423849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E2-4926-945C-D0DDFA56C8B7}"/>
            </c:ext>
          </c:extLst>
        </c:ser>
        <c:ser>
          <c:idx val="4"/>
          <c:order val="6"/>
          <c:tx>
            <c:strRef>
              <c:f>Kostnadsfordeling!$F$73</c:f>
              <c:strCache>
                <c:ptCount val="1"/>
                <c:pt idx="0">
                  <c:v> Bibliotek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Kostnadsfordeling!$A$74:$A$77</c:f>
              <c:strCache>
                <c:ptCount val="4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</c:strCache>
            </c:strRef>
          </c:cat>
          <c:val>
            <c:numRef>
              <c:f>Kostnadsfordeling!$F$74:$F$77</c:f>
              <c:numCache>
                <c:formatCode>_-* #\ ##0_-;\-* #\ ##0_-;_-* "-"??_-;_-@_-</c:formatCode>
                <c:ptCount val="4"/>
                <c:pt idx="1">
                  <c:v>8.7275734368518485</c:v>
                </c:pt>
                <c:pt idx="2">
                  <c:v>8.7275734368518485</c:v>
                </c:pt>
                <c:pt idx="3">
                  <c:v>59.2020398133117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E2-4926-945C-D0DDFA56C8B7}"/>
            </c:ext>
          </c:extLst>
        </c:ser>
        <c:ser>
          <c:idx val="5"/>
          <c:order val="7"/>
          <c:tx>
            <c:strRef>
              <c:f>Kostnadsfordeling!$G$73</c:f>
              <c:strCache>
                <c:ptCount val="1"/>
                <c:pt idx="0">
                  <c:v> Forskningsadm </c:v>
                </c:pt>
              </c:strCache>
            </c:strRef>
          </c:tx>
          <c:spPr>
            <a:solidFill>
              <a:srgbClr val="FFC000"/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Kostnadsfordeling!$A$74:$A$77</c:f>
              <c:strCache>
                <c:ptCount val="4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</c:strCache>
            </c:strRef>
          </c:cat>
          <c:val>
            <c:numRef>
              <c:f>Kostnadsfordeling!$G$74:$G$77</c:f>
              <c:numCache>
                <c:formatCode>_-* #\ ##0_-;\-* #\ ##0_-;_-* "-"??_-;_-@_-</c:formatCode>
                <c:ptCount val="4"/>
                <c:pt idx="1">
                  <c:v>25.314331844883682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E2-4926-945C-D0DDFA56C8B7}"/>
            </c:ext>
          </c:extLst>
        </c:ser>
        <c:ser>
          <c:idx val="6"/>
          <c:order val="8"/>
          <c:tx>
            <c:strRef>
              <c:f>Kostnadsfordeling!$H$73</c:f>
              <c:strCache>
                <c:ptCount val="1"/>
                <c:pt idx="0">
                  <c:v> Studieadm 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Kostnadsfordeling!$A$74:$A$77</c:f>
              <c:strCache>
                <c:ptCount val="4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</c:strCache>
            </c:strRef>
          </c:cat>
          <c:val>
            <c:numRef>
              <c:f>Kostnadsfordeling!$H$74:$H$77</c:f>
              <c:numCache>
                <c:formatCode>_-* #\ ##0_-;\-* #\ ##0_-;_-* "-"??_-;_-@_-</c:formatCode>
                <c:ptCount val="4"/>
                <c:pt idx="3">
                  <c:v>157.74760988888872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E2-4926-945C-D0DDFA56C8B7}"/>
            </c:ext>
          </c:extLst>
        </c:ser>
        <c:ser>
          <c:idx val="10"/>
          <c:order val="9"/>
          <c:tx>
            <c:strRef>
              <c:f>Kostnadsfordeling!$L$73</c:f>
              <c:strCache>
                <c:ptCount val="1"/>
                <c:pt idx="0">
                  <c:v> Øvrig felles </c:v>
                </c:pt>
              </c:strCache>
            </c:strRef>
          </c:tx>
          <c:spPr>
            <a:solidFill>
              <a:srgbClr val="92D050"/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Kostnadsfordeling!$A$74:$A$77</c:f>
              <c:strCache>
                <c:ptCount val="4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</c:strCache>
            </c:strRef>
          </c:cat>
          <c:val>
            <c:numRef>
              <c:f>Kostnadsfordeling!$L$74:$L$77</c:f>
              <c:numCache>
                <c:formatCode>_-* #\ ##0_-;\-* #\ ##0_-;_-* "-"??_-;_-@_-</c:formatCode>
                <c:ptCount val="4"/>
                <c:pt idx="1">
                  <c:v>15.888403594243602</c:v>
                </c:pt>
                <c:pt idx="2">
                  <c:v>15.888403594243602</c:v>
                </c:pt>
                <c:pt idx="3">
                  <c:v>4.3110535085714323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E2-4926-945C-D0DDFA56C8B7}"/>
            </c:ext>
          </c:extLst>
        </c:ser>
        <c:ser>
          <c:idx val="3"/>
          <c:order val="10"/>
          <c:tx>
            <c:strRef>
              <c:f>Kostnadsfordeling!$E$73</c:f>
              <c:strCache>
                <c:ptCount val="1"/>
                <c:pt idx="0">
                  <c:v> Fakultet og senter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6350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Kostnadsfordeling!$A$74:$A$77</c:f>
              <c:strCache>
                <c:ptCount val="4"/>
                <c:pt idx="0">
                  <c:v> Arbeidsplass </c:v>
                </c:pt>
                <c:pt idx="1">
                  <c:v> Forskning </c:v>
                </c:pt>
                <c:pt idx="2">
                  <c:v> Undervisning </c:v>
                </c:pt>
                <c:pt idx="3">
                  <c:v> Studenter </c:v>
                </c:pt>
              </c:strCache>
            </c:strRef>
          </c:cat>
          <c:val>
            <c:numRef>
              <c:f>Kostnadsfordeling!$E$74:$E$77</c:f>
              <c:numCache>
                <c:formatCode>_-* #\ ##0_-;\-* #\ ##0_-;_-* "-"??_-;_-@_-</c:formatCode>
                <c:ptCount val="4"/>
                <c:pt idx="1">
                  <c:v>110.2875447328522</c:v>
                </c:pt>
                <c:pt idx="2">
                  <c:v>110.2875447328522</c:v>
                </c:pt>
                <c:pt idx="3">
                  <c:v>299.24687137513899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4E2-4926-945C-D0DDFA56C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"/>
        <c:overlap val="100"/>
        <c:axId val="404718152"/>
        <c:axId val="404714912"/>
      </c:barChart>
      <c:catAx>
        <c:axId val="40471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04714912"/>
        <c:crosses val="autoZero"/>
        <c:auto val="1"/>
        <c:lblAlgn val="ctr"/>
        <c:lblOffset val="100"/>
        <c:noMultiLvlLbl val="0"/>
      </c:catAx>
      <c:valAx>
        <c:axId val="40471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04718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660853</xdr:colOff>
      <xdr:row>0</xdr:row>
      <xdr:rowOff>48532</xdr:rowOff>
    </xdr:from>
    <xdr:ext cx="184731" cy="264560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F53C66F1-6957-34C3-13E5-82EF064A8820}"/>
            </a:ext>
          </a:extLst>
        </xdr:cNvPr>
        <xdr:cNvSpPr txBox="1"/>
      </xdr:nvSpPr>
      <xdr:spPr>
        <a:xfrm>
          <a:off x="6602639" y="9613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2565117</xdr:colOff>
      <xdr:row>5</xdr:row>
      <xdr:rowOff>72562</xdr:rowOff>
    </xdr:from>
    <xdr:to>
      <xdr:col>6</xdr:col>
      <xdr:colOff>463466</xdr:colOff>
      <xdr:row>38</xdr:row>
      <xdr:rowOff>65654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171C091-9BD5-4D39-9C52-436512E64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2553703</xdr:colOff>
      <xdr:row>44</xdr:row>
      <xdr:rowOff>162540</xdr:rowOff>
    </xdr:from>
    <xdr:to>
      <xdr:col>6</xdr:col>
      <xdr:colOff>420586</xdr:colOff>
      <xdr:row>77</xdr:row>
      <xdr:rowOff>74221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5C5EC16-8082-4D8D-9E7D-A80F678E3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2467374</xdr:colOff>
      <xdr:row>82</xdr:row>
      <xdr:rowOff>16226</xdr:rowOff>
    </xdr:from>
    <xdr:to>
      <xdr:col>6</xdr:col>
      <xdr:colOff>383474</xdr:colOff>
      <xdr:row>118</xdr:row>
      <xdr:rowOff>111332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91EEE33D-5CE8-477D-8BDA-2048E1DDF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11476</xdr:colOff>
      <xdr:row>41</xdr:row>
      <xdr:rowOff>154926</xdr:rowOff>
    </xdr:from>
    <xdr:to>
      <xdr:col>2</xdr:col>
      <xdr:colOff>4455748</xdr:colOff>
      <xdr:row>54</xdr:row>
      <xdr:rowOff>149759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F27281C7-0253-46F9-58E9-1FD3A6B3B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786" y="8084775"/>
          <a:ext cx="5637766" cy="2456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Q145"/>
  <sheetViews>
    <sheetView showGridLines="0" tabSelected="1" zoomScale="95" zoomScaleNormal="95" workbookViewId="0">
      <pane ySplit="1" topLeftCell="A2" activePane="bottomLeft" state="frozen"/>
      <selection pane="bottomLeft" activeCell="B3" sqref="B3:D3"/>
    </sheetView>
  </sheetViews>
  <sheetFormatPr baseColWidth="10" defaultColWidth="11.54296875" defaultRowHeight="15" customHeight="1" x14ac:dyDescent="0.35"/>
  <cols>
    <col min="1" max="1" width="62.81640625" style="2" customWidth="1"/>
    <col min="2" max="2" width="20.453125" style="2" customWidth="1"/>
    <col min="3" max="3" width="23.1796875" customWidth="1"/>
    <col min="4" max="4" width="24" customWidth="1"/>
    <col min="5" max="5" width="16" customWidth="1"/>
    <col min="6" max="6" width="15.81640625" customWidth="1"/>
    <col min="7" max="7" width="14" customWidth="1"/>
    <col min="8" max="8" width="27.1796875" customWidth="1"/>
    <col min="9" max="9" width="14.7265625" style="2" bestFit="1" customWidth="1"/>
    <col min="10" max="10" width="14.81640625" style="2" bestFit="1" customWidth="1"/>
    <col min="11" max="11" width="17.453125" style="2" bestFit="1" customWidth="1"/>
    <col min="12" max="12" width="15.81640625" style="2" bestFit="1" customWidth="1"/>
    <col min="13" max="13" width="14.81640625" style="2" bestFit="1" customWidth="1"/>
    <col min="14" max="16384" width="11.54296875" style="2"/>
  </cols>
  <sheetData>
    <row r="1" spans="1:7" ht="27.65" customHeight="1" x14ac:dyDescent="0.6">
      <c r="A1" s="29" t="s">
        <v>123</v>
      </c>
      <c r="B1" s="5">
        <v>2021</v>
      </c>
    </row>
    <row r="2" spans="1:7" customFormat="1" ht="15" customHeight="1" x14ac:dyDescent="0.35"/>
    <row r="3" spans="1:7" customFormat="1" ht="15" customHeight="1" x14ac:dyDescent="0.35">
      <c r="A3" s="74" t="s">
        <v>316</v>
      </c>
      <c r="B3" s="199" t="s">
        <v>327</v>
      </c>
      <c r="C3" s="200"/>
      <c r="D3" s="201"/>
    </row>
    <row r="4" spans="1:7" customFormat="1" ht="15" customHeight="1" x14ac:dyDescent="0.35"/>
    <row r="5" spans="1:7" customFormat="1" ht="15" customHeight="1" x14ac:dyDescent="0.35">
      <c r="A5" s="67" t="s">
        <v>274</v>
      </c>
      <c r="B5" s="67" t="s">
        <v>277</v>
      </c>
      <c r="C5" s="67" t="str">
        <f>"Pris- og lønnsvekst "&amp;B6+1</f>
        <v>Pris- og lønnsvekst 2023</v>
      </c>
      <c r="D5" s="67" t="str">
        <f>"Pris- og lønnsvekst "&amp;B6+2</f>
        <v>Pris- og lønnsvekst 2024</v>
      </c>
      <c r="E5" s="68"/>
      <c r="F5" s="68"/>
      <c r="G5" s="68"/>
    </row>
    <row r="6" spans="1:7" customFormat="1" ht="15" customHeight="1" x14ac:dyDescent="0.35">
      <c r="B6" s="69">
        <v>2022</v>
      </c>
      <c r="C6" s="70">
        <v>5.1999999999999998E-2</v>
      </c>
      <c r="D6" s="70">
        <v>4.3999999999999997E-2</v>
      </c>
    </row>
    <row r="7" spans="1:7" customFormat="1" ht="15" customHeight="1" x14ac:dyDescent="0.35"/>
    <row r="8" spans="1:7" customFormat="1" ht="15" customHeight="1" x14ac:dyDescent="0.35">
      <c r="A8" s="71" t="s">
        <v>97</v>
      </c>
      <c r="B8" s="71"/>
      <c r="C8" s="71"/>
      <c r="D8" s="71"/>
      <c r="E8" s="71"/>
      <c r="F8" s="71"/>
      <c r="G8" s="71"/>
    </row>
    <row r="9" spans="1:7" customFormat="1" ht="15" customHeight="1" x14ac:dyDescent="0.35">
      <c r="A9" t="s">
        <v>90</v>
      </c>
      <c r="B9" s="72">
        <v>1500</v>
      </c>
      <c r="C9" s="73"/>
    </row>
    <row r="10" spans="1:7" customFormat="1" ht="15" customHeight="1" x14ac:dyDescent="0.35">
      <c r="A10" s="74"/>
      <c r="B10" s="73"/>
      <c r="C10" s="73"/>
    </row>
    <row r="11" spans="1:7" customFormat="1" ht="15" customHeight="1" x14ac:dyDescent="0.35">
      <c r="A11" s="74"/>
      <c r="B11" s="75" t="s">
        <v>87</v>
      </c>
      <c r="C11" s="75" t="s">
        <v>88</v>
      </c>
      <c r="D11" s="75" t="s">
        <v>2</v>
      </c>
    </row>
    <row r="12" spans="1:7" customFormat="1" ht="15" customHeight="1" x14ac:dyDescent="0.35">
      <c r="A12" s="76" t="s">
        <v>313</v>
      </c>
      <c r="B12" s="77">
        <v>800</v>
      </c>
      <c r="C12" s="77">
        <v>50</v>
      </c>
      <c r="D12" s="78">
        <f>+C12+B12</f>
        <v>850</v>
      </c>
    </row>
    <row r="13" spans="1:7" customFormat="1" ht="15" customHeight="1" x14ac:dyDescent="0.35">
      <c r="A13" t="s">
        <v>314</v>
      </c>
      <c r="B13" s="77">
        <v>100</v>
      </c>
      <c r="C13" s="77">
        <v>10</v>
      </c>
      <c r="D13" s="78">
        <f>+C13+B13</f>
        <v>110</v>
      </c>
      <c r="E13" s="138">
        <f>+D13/(D13+D17)</f>
        <v>0.12571428571428572</v>
      </c>
      <c r="F13" s="96" t="s">
        <v>205</v>
      </c>
    </row>
    <row r="14" spans="1:7" customFormat="1" ht="15" customHeight="1" x14ac:dyDescent="0.35">
      <c r="F14" s="96"/>
    </row>
    <row r="15" spans="1:7" customFormat="1" ht="15" customHeight="1" x14ac:dyDescent="0.35">
      <c r="A15" t="s">
        <v>326</v>
      </c>
      <c r="B15" s="77">
        <v>25</v>
      </c>
      <c r="C15" s="77">
        <v>0</v>
      </c>
      <c r="D15" s="78">
        <f>+C15+B15</f>
        <v>25</v>
      </c>
      <c r="E15" s="17"/>
      <c r="F15" s="96"/>
    </row>
    <row r="16" spans="1:7" customFormat="1" ht="15" customHeight="1" x14ac:dyDescent="0.35">
      <c r="A16" s="2"/>
      <c r="B16" s="2"/>
    </row>
    <row r="17" spans="1:11" customFormat="1" ht="15" customHeight="1" x14ac:dyDescent="0.35">
      <c r="A17" s="74" t="s">
        <v>204</v>
      </c>
      <c r="B17" s="79">
        <f>+B12+B15-B13</f>
        <v>725</v>
      </c>
      <c r="C17" s="79">
        <f>+C12+C15-C13</f>
        <v>40</v>
      </c>
      <c r="D17" s="79">
        <f>+C17+B17</f>
        <v>765</v>
      </c>
      <c r="E17" s="6"/>
    </row>
    <row r="18" spans="1:11" customFormat="1" ht="15" customHeight="1" x14ac:dyDescent="0.35"/>
    <row r="19" spans="1:11" customFormat="1" ht="15" customHeight="1" x14ac:dyDescent="0.35">
      <c r="A19" t="s">
        <v>134</v>
      </c>
      <c r="B19" s="77">
        <v>40</v>
      </c>
      <c r="C19" s="77">
        <v>5</v>
      </c>
      <c r="D19" s="78">
        <f>+C19+B19</f>
        <v>45</v>
      </c>
    </row>
    <row r="20" spans="1:11" customFormat="1" ht="15" customHeight="1" x14ac:dyDescent="0.35">
      <c r="A20" s="74" t="s">
        <v>89</v>
      </c>
      <c r="B20" s="79">
        <f>+B17+B19</f>
        <v>765</v>
      </c>
      <c r="C20" s="79">
        <f>+C17+C19</f>
        <v>45</v>
      </c>
      <c r="D20" s="80">
        <f>+C20+B20</f>
        <v>810</v>
      </c>
      <c r="E20" s="81" t="s">
        <v>26</v>
      </c>
    </row>
    <row r="21" spans="1:11" customFormat="1" ht="15" customHeight="1" x14ac:dyDescent="0.35">
      <c r="K21" s="82"/>
    </row>
    <row r="22" spans="1:11" customFormat="1" ht="15" customHeight="1" x14ac:dyDescent="0.35">
      <c r="A22" s="76" t="s">
        <v>114</v>
      </c>
      <c r="B22" s="83">
        <f>+B9-D20-D13+D15</f>
        <v>605</v>
      </c>
      <c r="D22" s="78">
        <f>+B22</f>
        <v>605</v>
      </c>
      <c r="K22" s="82"/>
    </row>
    <row r="23" spans="1:11" customFormat="1" ht="15" customHeight="1" x14ac:dyDescent="0.35">
      <c r="A23" s="84" t="s">
        <v>229</v>
      </c>
      <c r="B23" s="85">
        <f>+B20+B22</f>
        <v>1370</v>
      </c>
      <c r="C23" s="85">
        <f>+C20</f>
        <v>45</v>
      </c>
      <c r="D23" s="85">
        <f>+D20+D22</f>
        <v>1415</v>
      </c>
      <c r="K23" s="86"/>
    </row>
    <row r="24" spans="1:11" customFormat="1" ht="15" customHeight="1" x14ac:dyDescent="0.35">
      <c r="A24" s="76"/>
      <c r="B24" s="87"/>
      <c r="C24" s="6"/>
    </row>
    <row r="25" spans="1:11" customFormat="1" ht="15" customHeight="1" x14ac:dyDescent="0.35">
      <c r="A25" s="76"/>
      <c r="B25" s="87"/>
      <c r="E25" s="198" t="s">
        <v>7</v>
      </c>
      <c r="F25" s="198"/>
      <c r="G25" s="198"/>
    </row>
    <row r="26" spans="1:11" customFormat="1" ht="15" customHeight="1" x14ac:dyDescent="0.35">
      <c r="A26" s="84" t="s">
        <v>21</v>
      </c>
      <c r="B26" s="85" t="s">
        <v>87</v>
      </c>
      <c r="C26" s="88" t="s">
        <v>88</v>
      </c>
      <c r="D26" s="88" t="s">
        <v>2</v>
      </c>
      <c r="E26" s="85" t="s">
        <v>120</v>
      </c>
      <c r="F26" s="85" t="s">
        <v>91</v>
      </c>
      <c r="G26" s="85" t="s">
        <v>92</v>
      </c>
    </row>
    <row r="27" spans="1:11" customFormat="1" ht="15" customHeight="1" x14ac:dyDescent="0.35">
      <c r="A27" s="76" t="s">
        <v>130</v>
      </c>
      <c r="C27" s="89">
        <f>+C17</f>
        <v>40</v>
      </c>
      <c r="D27" s="90">
        <f>+C27+B27</f>
        <v>40</v>
      </c>
      <c r="E27" s="91">
        <v>0.9</v>
      </c>
      <c r="F27" s="92">
        <f>+E27*B27</f>
        <v>0</v>
      </c>
      <c r="G27" s="92">
        <f>+E27*C27</f>
        <v>36</v>
      </c>
    </row>
    <row r="28" spans="1:11" customFormat="1" ht="15" customHeight="1" x14ac:dyDescent="0.35">
      <c r="A28" s="76" t="s">
        <v>146</v>
      </c>
      <c r="B28" s="77">
        <v>300</v>
      </c>
      <c r="D28" s="78">
        <f t="shared" ref="D28:D30" si="0">+C28+B28</f>
        <v>300</v>
      </c>
      <c r="E28" s="91">
        <v>0.5</v>
      </c>
      <c r="F28" s="21">
        <f t="shared" ref="F28:F30" si="1">+E28*B28</f>
        <v>150</v>
      </c>
      <c r="G28" s="21">
        <f t="shared" ref="G28:G30" si="2">+E28*C28</f>
        <v>0</v>
      </c>
    </row>
    <row r="29" spans="1:11" customFormat="1" ht="15" customHeight="1" x14ac:dyDescent="0.35">
      <c r="A29" s="76" t="s">
        <v>34</v>
      </c>
      <c r="B29" s="77">
        <v>200</v>
      </c>
      <c r="D29" s="78">
        <f t="shared" si="0"/>
        <v>200</v>
      </c>
      <c r="E29" s="91">
        <v>0.4</v>
      </c>
      <c r="F29" s="21">
        <f t="shared" si="1"/>
        <v>80</v>
      </c>
      <c r="G29" s="21">
        <f t="shared" si="2"/>
        <v>0</v>
      </c>
    </row>
    <row r="30" spans="1:11" customFormat="1" ht="15" customHeight="1" x14ac:dyDescent="0.35">
      <c r="A30" s="76" t="s">
        <v>35</v>
      </c>
      <c r="B30" s="77">
        <v>100</v>
      </c>
      <c r="D30" s="78">
        <f t="shared" si="0"/>
        <v>100</v>
      </c>
      <c r="E30" s="91">
        <v>0.3</v>
      </c>
      <c r="F30" s="21">
        <f t="shared" si="1"/>
        <v>30</v>
      </c>
      <c r="G30" s="21">
        <f t="shared" si="2"/>
        <v>0</v>
      </c>
    </row>
    <row r="31" spans="1:11" customFormat="1" ht="15" customHeight="1" x14ac:dyDescent="0.35">
      <c r="A31" s="76" t="s">
        <v>315</v>
      </c>
      <c r="B31" s="21">
        <f>B12-B13-SUM(B28:B30)</f>
        <v>100</v>
      </c>
      <c r="D31" s="78">
        <f t="shared" ref="D31:D32" si="3">+C31+B31</f>
        <v>100</v>
      </c>
      <c r="E31" s="91">
        <v>0.3</v>
      </c>
      <c r="F31" s="21">
        <f t="shared" ref="F31:F32" si="4">+E31*B31</f>
        <v>30</v>
      </c>
      <c r="G31" s="21">
        <f t="shared" ref="G31:G32" si="5">+E31*C31</f>
        <v>0</v>
      </c>
    </row>
    <row r="32" spans="1:11" customFormat="1" ht="15" customHeight="1" x14ac:dyDescent="0.35">
      <c r="A32" t="s">
        <v>326</v>
      </c>
      <c r="B32" s="21">
        <f>+B15</f>
        <v>25</v>
      </c>
      <c r="D32" s="78">
        <f t="shared" si="3"/>
        <v>25</v>
      </c>
      <c r="E32" s="91">
        <v>0</v>
      </c>
      <c r="F32" s="21">
        <f t="shared" si="4"/>
        <v>0</v>
      </c>
      <c r="G32" s="21">
        <f t="shared" si="5"/>
        <v>0</v>
      </c>
    </row>
    <row r="33" spans="1:7" customFormat="1" ht="15" customHeight="1" x14ac:dyDescent="0.35">
      <c r="A33" s="84" t="s">
        <v>20</v>
      </c>
      <c r="B33" s="85">
        <f>SUM(B27:B32)</f>
        <v>725</v>
      </c>
      <c r="C33" s="85">
        <f>SUM(C27:C32)</f>
        <v>40</v>
      </c>
      <c r="D33" s="85">
        <f>SUM(D27:D32)</f>
        <v>765</v>
      </c>
      <c r="E33" s="93">
        <f>+(E27*D27+E28*D28+E29*D29+E30*D30+E31*D31+E32*D32)/D33</f>
        <v>0.42614379084967319</v>
      </c>
      <c r="F33" s="24">
        <f>SUM(F27:F32)</f>
        <v>290</v>
      </c>
      <c r="G33" s="24">
        <f>SUM(G27:G32)</f>
        <v>36</v>
      </c>
    </row>
    <row r="34" spans="1:7" customFormat="1" ht="15" customHeight="1" thickBot="1" x14ac:dyDescent="0.4">
      <c r="A34" s="76"/>
      <c r="C34" s="94"/>
      <c r="D34" s="12"/>
      <c r="E34" s="12"/>
    </row>
    <row r="35" spans="1:7" customFormat="1" ht="15" customHeight="1" thickBot="1" x14ac:dyDescent="0.4">
      <c r="A35" s="76" t="s">
        <v>113</v>
      </c>
      <c r="B35" s="2"/>
      <c r="D35" s="95">
        <f>+E33</f>
        <v>0.42614379084967319</v>
      </c>
      <c r="E35" s="96" t="s">
        <v>126</v>
      </c>
    </row>
    <row r="36" spans="1:7" customFormat="1" ht="15" customHeight="1" x14ac:dyDescent="0.35">
      <c r="A36" s="76" t="s">
        <v>115</v>
      </c>
      <c r="B36" s="2"/>
      <c r="D36" s="97">
        <f>+F33+G33</f>
        <v>326</v>
      </c>
      <c r="E36" s="81" t="s">
        <v>28</v>
      </c>
    </row>
    <row r="37" spans="1:7" customFormat="1" ht="15" customHeight="1" x14ac:dyDescent="0.35">
      <c r="A37" s="76" t="s">
        <v>10</v>
      </c>
      <c r="B37" s="2"/>
      <c r="D37" s="98">
        <f>+D33-D36</f>
        <v>439</v>
      </c>
      <c r="E37" s="81" t="s">
        <v>52</v>
      </c>
    </row>
    <row r="38" spans="1:7" customFormat="1" ht="15" customHeight="1" x14ac:dyDescent="0.35">
      <c r="A38" s="74" t="s">
        <v>204</v>
      </c>
      <c r="B38" s="2"/>
      <c r="D38" s="99">
        <f>+D37+D36</f>
        <v>765</v>
      </c>
    </row>
    <row r="39" spans="1:7" customFormat="1" ht="15" customHeight="1" thickBot="1" x14ac:dyDescent="0.4">
      <c r="A39" s="74"/>
      <c r="B39" s="2"/>
      <c r="D39" s="100"/>
      <c r="E39" s="73"/>
    </row>
    <row r="40" spans="1:7" customFormat="1" ht="15" customHeight="1" thickBot="1" x14ac:dyDescent="0.4">
      <c r="A40" t="s">
        <v>59</v>
      </c>
      <c r="B40" s="2"/>
      <c r="D40" s="170">
        <v>1628</v>
      </c>
      <c r="E40" s="101" t="s">
        <v>74</v>
      </c>
    </row>
    <row r="41" spans="1:7" customFormat="1" ht="15" customHeight="1" x14ac:dyDescent="0.35"/>
    <row r="42" spans="1:7" customFormat="1" ht="15" customHeight="1" x14ac:dyDescent="0.35">
      <c r="A42" s="71" t="s">
        <v>121</v>
      </c>
      <c r="B42" s="71"/>
      <c r="C42" s="71"/>
      <c r="D42" s="71"/>
      <c r="E42" s="71"/>
      <c r="F42" s="71"/>
      <c r="G42" s="71"/>
    </row>
    <row r="43" spans="1:7" customFormat="1" ht="15" customHeight="1" x14ac:dyDescent="0.35">
      <c r="A43" s="102" t="s">
        <v>116</v>
      </c>
      <c r="B43" s="103">
        <v>7500</v>
      </c>
      <c r="C43" s="81" t="s">
        <v>57</v>
      </c>
    </row>
    <row r="44" spans="1:7" customFormat="1" ht="15" customHeight="1" x14ac:dyDescent="0.35"/>
    <row r="45" spans="1:7" customFormat="1" ht="15" customHeight="1" thickBot="1" x14ac:dyDescent="0.4">
      <c r="A45" s="67" t="s">
        <v>124</v>
      </c>
      <c r="B45" s="67" t="s">
        <v>42</v>
      </c>
      <c r="C45" s="67" t="s">
        <v>93</v>
      </c>
      <c r="D45" s="67" t="s">
        <v>38</v>
      </c>
      <c r="E45" s="67" t="s">
        <v>40</v>
      </c>
      <c r="F45" s="67"/>
      <c r="G45" s="67"/>
    </row>
    <row r="46" spans="1:7" customFormat="1" ht="15" customHeight="1" thickBot="1" x14ac:dyDescent="0.4">
      <c r="A46" s="76" t="s">
        <v>22</v>
      </c>
      <c r="B46" s="104">
        <v>10</v>
      </c>
      <c r="C46" s="105">
        <f>+$B$43/B46</f>
        <v>750</v>
      </c>
      <c r="D46" s="78">
        <f>+C46+D38</f>
        <v>1515</v>
      </c>
      <c r="E46" s="95">
        <f t="shared" ref="E46:E48" si="6">+C46/D46</f>
        <v>0.49504950495049505</v>
      </c>
      <c r="F46" s="96" t="s">
        <v>127</v>
      </c>
    </row>
    <row r="47" spans="1:7" customFormat="1" ht="15" customHeight="1" thickBot="1" x14ac:dyDescent="0.4">
      <c r="A47" s="76" t="s">
        <v>3</v>
      </c>
      <c r="B47" s="104">
        <v>4</v>
      </c>
      <c r="C47" s="106">
        <f>+$B$43/B47</f>
        <v>1875</v>
      </c>
      <c r="D47" s="78">
        <f>+C47+D38</f>
        <v>2640</v>
      </c>
      <c r="E47" s="95">
        <f t="shared" si="6"/>
        <v>0.71022727272727271</v>
      </c>
      <c r="F47" s="96" t="s">
        <v>128</v>
      </c>
    </row>
    <row r="48" spans="1:7" customFormat="1" ht="15" customHeight="1" thickBot="1" x14ac:dyDescent="0.4">
      <c r="A48" s="76" t="s">
        <v>289</v>
      </c>
      <c r="B48" s="104">
        <v>100</v>
      </c>
      <c r="C48" s="106">
        <f>+$B$43/B48</f>
        <v>75</v>
      </c>
      <c r="D48" s="78">
        <f>+C48+D38</f>
        <v>840</v>
      </c>
      <c r="E48" s="95">
        <f t="shared" si="6"/>
        <v>8.9285714285714288E-2</v>
      </c>
      <c r="F48" s="96" t="s">
        <v>290</v>
      </c>
    </row>
    <row r="49" spans="1:17" customFormat="1" ht="15" customHeight="1" x14ac:dyDescent="0.35">
      <c r="A49" t="s">
        <v>44</v>
      </c>
    </row>
    <row r="50" spans="1:17" customFormat="1" ht="15" customHeight="1" x14ac:dyDescent="0.35"/>
    <row r="51" spans="1:17" customFormat="1" ht="15" customHeight="1" thickBot="1" x14ac:dyDescent="0.4">
      <c r="A51" s="67" t="s">
        <v>110</v>
      </c>
      <c r="B51" s="67" t="s">
        <v>43</v>
      </c>
      <c r="C51" s="67" t="s">
        <v>39</v>
      </c>
      <c r="D51" s="67" t="s">
        <v>38</v>
      </c>
      <c r="E51" s="67" t="s">
        <v>40</v>
      </c>
      <c r="F51" s="67"/>
      <c r="G51" s="67"/>
    </row>
    <row r="52" spans="1:17" customFormat="1" ht="15" customHeight="1" thickBot="1" x14ac:dyDescent="0.4">
      <c r="A52" s="76" t="s">
        <v>66</v>
      </c>
      <c r="B52" s="104">
        <v>10</v>
      </c>
      <c r="C52" s="105">
        <f>+$B$43/B52</f>
        <v>750</v>
      </c>
      <c r="D52" s="78">
        <f>+B9+C52</f>
        <v>2250</v>
      </c>
      <c r="E52" s="95">
        <f t="shared" ref="E52" si="7">+C52/D52</f>
        <v>0.33333333333333331</v>
      </c>
      <c r="F52" s="96" t="s">
        <v>125</v>
      </c>
    </row>
    <row r="53" spans="1:17" customFormat="1" ht="15" customHeight="1" x14ac:dyDescent="0.35">
      <c r="A53" s="76" t="s">
        <v>60</v>
      </c>
      <c r="B53" s="107"/>
      <c r="C53" s="108"/>
      <c r="D53" s="6"/>
      <c r="F53" s="96"/>
    </row>
    <row r="54" spans="1:17" customFormat="1" ht="15" customHeight="1" x14ac:dyDescent="0.35">
      <c r="A54" s="76"/>
      <c r="B54" s="107"/>
      <c r="C54" s="108"/>
      <c r="D54" s="6"/>
      <c r="E54" s="109"/>
      <c r="F54" s="96"/>
    </row>
    <row r="55" spans="1:17" customFormat="1" ht="15" customHeight="1" x14ac:dyDescent="0.35">
      <c r="A55" s="67" t="s">
        <v>286</v>
      </c>
      <c r="B55" s="67" t="s">
        <v>2</v>
      </c>
      <c r="C55" s="71" t="s">
        <v>67</v>
      </c>
      <c r="D55" s="71" t="s">
        <v>68</v>
      </c>
      <c r="E55" s="71" t="s">
        <v>1</v>
      </c>
      <c r="F55" s="71" t="s">
        <v>64</v>
      </c>
      <c r="G55" s="71" t="s">
        <v>65</v>
      </c>
      <c r="I55" s="1"/>
      <c r="J55" s="1"/>
      <c r="K55" s="1"/>
      <c r="L55" s="1"/>
      <c r="M55" s="1"/>
      <c r="N55" s="1"/>
    </row>
    <row r="56" spans="1:17" customFormat="1" ht="15" customHeight="1" x14ac:dyDescent="0.35">
      <c r="A56" t="s">
        <v>207</v>
      </c>
      <c r="B56" s="21">
        <f>SUM(C56:G56)</f>
        <v>1021015406.0800014</v>
      </c>
      <c r="C56" s="128">
        <v>-12895174.629999999</v>
      </c>
      <c r="D56" s="77"/>
      <c r="E56" s="77">
        <v>882939760.28000128</v>
      </c>
      <c r="F56" s="77">
        <v>102290730.55999993</v>
      </c>
      <c r="G56" s="77">
        <v>48680089.870000087</v>
      </c>
      <c r="I56" s="1"/>
      <c r="J56" s="1"/>
      <c r="K56" s="1"/>
      <c r="L56" s="1"/>
      <c r="M56" s="1"/>
      <c r="N56" s="1"/>
      <c r="O56" s="6"/>
      <c r="P56" s="6"/>
      <c r="Q56" s="6"/>
    </row>
    <row r="57" spans="1:17" customFormat="1" ht="15" customHeight="1" x14ac:dyDescent="0.35">
      <c r="A57" t="s">
        <v>208</v>
      </c>
      <c r="B57" s="21">
        <f>SUM(C57:G57)</f>
        <v>30000000</v>
      </c>
      <c r="C57" s="128"/>
      <c r="D57" s="77"/>
      <c r="E57" s="77"/>
      <c r="F57" s="77">
        <v>30000000</v>
      </c>
      <c r="G57" s="77"/>
      <c r="I57" s="1"/>
      <c r="J57" s="1"/>
      <c r="K57" s="1"/>
      <c r="L57" s="1"/>
      <c r="M57" s="1"/>
      <c r="N57" s="1"/>
      <c r="O57" s="6"/>
      <c r="P57" s="6"/>
      <c r="Q57" s="6"/>
    </row>
    <row r="58" spans="1:17" customFormat="1" ht="15" customHeight="1" x14ac:dyDescent="0.35">
      <c r="A58" t="s">
        <v>3</v>
      </c>
      <c r="B58" s="21">
        <f t="shared" ref="B58:B65" si="8">SUM(C58:G58)</f>
        <v>42904066.500000015</v>
      </c>
      <c r="C58" s="128">
        <v>-505978</v>
      </c>
      <c r="D58" s="77"/>
      <c r="E58" s="77">
        <v>23980460.750000015</v>
      </c>
      <c r="F58" s="77">
        <v>19016093.300000001</v>
      </c>
      <c r="G58" s="77">
        <v>413490.44999999995</v>
      </c>
      <c r="I58" s="1"/>
      <c r="J58" s="1"/>
      <c r="K58" s="1"/>
      <c r="L58" s="1"/>
      <c r="M58" s="1"/>
      <c r="N58" s="1"/>
      <c r="O58" s="6"/>
      <c r="P58" s="6"/>
      <c r="Q58" s="6"/>
    </row>
    <row r="59" spans="1:17" customFormat="1" ht="15" customHeight="1" x14ac:dyDescent="0.35">
      <c r="A59" t="s">
        <v>117</v>
      </c>
      <c r="B59" s="21">
        <f t="shared" si="8"/>
        <v>15366858.329999998</v>
      </c>
      <c r="C59" s="128">
        <v>-505745</v>
      </c>
      <c r="D59" s="77"/>
      <c r="E59" s="77">
        <v>10593834.309999999</v>
      </c>
      <c r="F59" s="77">
        <v>1451923.2599999998</v>
      </c>
      <c r="G59" s="77">
        <v>3826845.76</v>
      </c>
      <c r="I59" s="1"/>
      <c r="J59" s="1"/>
      <c r="K59" s="1"/>
      <c r="L59" s="1"/>
      <c r="M59" s="1"/>
      <c r="N59" s="1"/>
      <c r="O59" s="6"/>
      <c r="P59" s="6"/>
      <c r="Q59" s="6"/>
    </row>
    <row r="60" spans="1:17" customFormat="1" ht="15" customHeight="1" x14ac:dyDescent="0.35">
      <c r="A60" t="s">
        <v>118</v>
      </c>
      <c r="B60" s="21">
        <f t="shared" si="8"/>
        <v>70986424.449999928</v>
      </c>
      <c r="C60" s="128">
        <v>-3105708.96</v>
      </c>
      <c r="D60" s="77"/>
      <c r="E60" s="77">
        <v>59951027.60999994</v>
      </c>
      <c r="F60" s="77">
        <v>6332800.9499999983</v>
      </c>
      <c r="G60" s="77">
        <v>7808304.8500000015</v>
      </c>
      <c r="I60" s="1"/>
      <c r="J60" s="1"/>
      <c r="K60" s="1"/>
      <c r="L60" s="1"/>
      <c r="M60" s="1"/>
      <c r="N60" s="1"/>
      <c r="O60" s="6"/>
      <c r="P60" s="6"/>
      <c r="Q60" s="6"/>
    </row>
    <row r="61" spans="1:17" customFormat="1" ht="15" customHeight="1" x14ac:dyDescent="0.35">
      <c r="A61" t="s">
        <v>66</v>
      </c>
      <c r="B61" s="21">
        <f t="shared" si="8"/>
        <v>95811506.820000038</v>
      </c>
      <c r="C61" s="128">
        <v>-631109.64</v>
      </c>
      <c r="D61" s="77"/>
      <c r="E61" s="77">
        <v>37556049.930000022</v>
      </c>
      <c r="F61" s="77">
        <v>57868264.020000011</v>
      </c>
      <c r="G61" s="77">
        <v>1018302.5100000001</v>
      </c>
      <c r="I61" s="1"/>
      <c r="J61" s="1"/>
      <c r="K61" s="1"/>
      <c r="L61" s="1"/>
      <c r="M61" s="1"/>
      <c r="N61" s="1"/>
      <c r="O61" s="6"/>
      <c r="P61" s="6"/>
      <c r="Q61" s="6"/>
    </row>
    <row r="62" spans="1:17" customFormat="1" ht="15" customHeight="1" x14ac:dyDescent="0.35">
      <c r="A62" t="s">
        <v>73</v>
      </c>
      <c r="B62" s="21">
        <f t="shared" si="8"/>
        <v>48510985.210000023</v>
      </c>
      <c r="C62" s="128">
        <v>-79450.569999999949</v>
      </c>
      <c r="D62" s="77"/>
      <c r="E62" s="77">
        <v>40522635.140000023</v>
      </c>
      <c r="F62" s="77">
        <v>6161352.0999999987</v>
      </c>
      <c r="G62" s="77">
        <v>1906448.5400000003</v>
      </c>
      <c r="I62" s="1"/>
      <c r="J62" s="1"/>
      <c r="K62" s="1"/>
      <c r="L62" s="1"/>
      <c r="M62" s="1"/>
      <c r="N62" s="1"/>
      <c r="O62" s="6"/>
      <c r="P62" s="6"/>
      <c r="Q62" s="6"/>
    </row>
    <row r="63" spans="1:17" customFormat="1" ht="15" customHeight="1" x14ac:dyDescent="0.35">
      <c r="A63" t="s">
        <v>0</v>
      </c>
      <c r="B63" s="21">
        <f t="shared" si="8"/>
        <v>340273955.85999995</v>
      </c>
      <c r="C63" s="128">
        <v>-2913402.66</v>
      </c>
      <c r="D63" s="77"/>
      <c r="E63" s="77">
        <v>37804989.12000002</v>
      </c>
      <c r="F63" s="77">
        <v>303192992.77999991</v>
      </c>
      <c r="G63" s="77">
        <v>2189376.62</v>
      </c>
      <c r="I63" s="1"/>
      <c r="J63" s="1"/>
      <c r="K63" s="1"/>
      <c r="L63" s="1"/>
      <c r="M63" s="1"/>
      <c r="N63" s="1"/>
      <c r="O63" s="6"/>
      <c r="P63" s="6"/>
      <c r="Q63" s="6"/>
    </row>
    <row r="64" spans="1:17" customFormat="1" ht="15" customHeight="1" x14ac:dyDescent="0.35">
      <c r="A64" t="s">
        <v>288</v>
      </c>
      <c r="B64" s="21">
        <f t="shared" si="8"/>
        <v>24851955.520000018</v>
      </c>
      <c r="C64" s="128">
        <v>-13947031.759999998</v>
      </c>
      <c r="D64" s="77"/>
      <c r="E64" s="77">
        <v>17429412.140000015</v>
      </c>
      <c r="F64" s="77">
        <v>11892103.960000003</v>
      </c>
      <c r="G64" s="77">
        <v>9477471.1799999997</v>
      </c>
      <c r="I64" s="1"/>
      <c r="J64" s="1"/>
      <c r="K64" s="1"/>
      <c r="L64" s="1"/>
      <c r="M64" s="1"/>
      <c r="N64" s="1"/>
      <c r="O64" s="6"/>
      <c r="P64" s="6"/>
      <c r="Q64" s="6"/>
    </row>
    <row r="65" spans="1:14" customFormat="1" ht="15" customHeight="1" x14ac:dyDescent="0.35">
      <c r="A65" s="74" t="s">
        <v>78</v>
      </c>
      <c r="B65" s="24">
        <f t="shared" si="8"/>
        <v>1689721158.7700014</v>
      </c>
      <c r="C65" s="24">
        <f>SUM(C56:C64)</f>
        <v>-34583601.219999999</v>
      </c>
      <c r="D65" s="24">
        <f>SUM(D56:D64)</f>
        <v>0</v>
      </c>
      <c r="E65" s="24">
        <f>SUM(E56:E64)</f>
        <v>1110778169.2800014</v>
      </c>
      <c r="F65" s="24">
        <f>SUM(F56:F64)</f>
        <v>538206260.92999983</v>
      </c>
      <c r="G65" s="24">
        <f>SUM(G56:G64)</f>
        <v>75320329.780000091</v>
      </c>
      <c r="M65" s="173"/>
      <c r="N65" s="1"/>
    </row>
    <row r="66" spans="1:14" customFormat="1" ht="15" customHeight="1" x14ac:dyDescent="0.35">
      <c r="I66" s="1"/>
      <c r="J66" s="1"/>
      <c r="K66" s="1"/>
      <c r="L66" s="1"/>
      <c r="M66" s="1"/>
      <c r="N66" s="1"/>
    </row>
    <row r="67" spans="1:14" customFormat="1" ht="15" customHeight="1" x14ac:dyDescent="0.35">
      <c r="A67" s="71" t="s">
        <v>98</v>
      </c>
      <c r="B67" s="122"/>
      <c r="C67" s="122"/>
      <c r="D67" s="122"/>
      <c r="E67" s="122"/>
      <c r="F67" s="71"/>
      <c r="G67" s="71"/>
      <c r="I67" s="1"/>
      <c r="J67" s="1"/>
      <c r="K67" s="1"/>
      <c r="L67" s="1"/>
      <c r="M67" s="1"/>
      <c r="N67" s="1"/>
    </row>
    <row r="68" spans="1:14" customFormat="1" ht="15" customHeight="1" x14ac:dyDescent="0.35">
      <c r="A68" t="s">
        <v>138</v>
      </c>
      <c r="B68" s="194">
        <v>650000000</v>
      </c>
      <c r="C68" s="114" t="s">
        <v>219</v>
      </c>
      <c r="I68" s="1"/>
      <c r="J68" s="1"/>
      <c r="K68" s="1"/>
      <c r="L68" s="1"/>
      <c r="M68" s="1"/>
      <c r="N68" s="1"/>
    </row>
    <row r="69" spans="1:14" customFormat="1" ht="15" customHeight="1" x14ac:dyDescent="0.35">
      <c r="A69" t="s">
        <v>36</v>
      </c>
      <c r="B69" s="194">
        <v>32000000</v>
      </c>
      <c r="C69" s="114" t="s">
        <v>219</v>
      </c>
    </row>
    <row r="70" spans="1:14" customFormat="1" ht="15" customHeight="1" x14ac:dyDescent="0.35">
      <c r="A70" t="s">
        <v>340</v>
      </c>
      <c r="B70" s="194">
        <v>6000000</v>
      </c>
      <c r="C70" s="114" t="s">
        <v>220</v>
      </c>
    </row>
    <row r="71" spans="1:14" customFormat="1" ht="15" customHeight="1" x14ac:dyDescent="0.35">
      <c r="A71" t="s">
        <v>8</v>
      </c>
      <c r="B71" s="194">
        <v>4000000</v>
      </c>
      <c r="C71" s="114" t="s">
        <v>220</v>
      </c>
    </row>
    <row r="72" spans="1:14" customFormat="1" ht="15" customHeight="1" x14ac:dyDescent="0.35">
      <c r="C72" s="81"/>
    </row>
    <row r="73" spans="1:14" customFormat="1" ht="15" customHeight="1" thickBot="1" x14ac:dyDescent="0.4">
      <c r="A73" s="123"/>
      <c r="B73" s="124" t="s">
        <v>27</v>
      </c>
      <c r="C73" s="124" t="s">
        <v>48</v>
      </c>
      <c r="D73" s="124" t="s">
        <v>62</v>
      </c>
      <c r="E73" s="123"/>
      <c r="F73" s="123"/>
    </row>
    <row r="74" spans="1:14" customFormat="1" ht="15" customHeight="1" thickBot="1" x14ac:dyDescent="0.4">
      <c r="A74" t="s">
        <v>16</v>
      </c>
      <c r="B74" s="77">
        <v>40000</v>
      </c>
      <c r="C74" s="78">
        <f>+Inndata!B17</f>
        <v>725</v>
      </c>
      <c r="D74" s="125">
        <f>+B74*C74</f>
        <v>29000000</v>
      </c>
      <c r="E74" s="114" t="s">
        <v>219</v>
      </c>
    </row>
    <row r="75" spans="1:14" customFormat="1" ht="15" customHeight="1" x14ac:dyDescent="0.35">
      <c r="B75" s="126"/>
    </row>
    <row r="76" spans="1:14" customFormat="1" ht="15" customHeight="1" thickBot="1" x14ac:dyDescent="0.4">
      <c r="A76" s="123"/>
      <c r="B76" s="124" t="s">
        <v>235</v>
      </c>
      <c r="C76" s="124" t="s">
        <v>187</v>
      </c>
      <c r="D76" s="124" t="s">
        <v>49</v>
      </c>
      <c r="E76" s="123"/>
      <c r="F76" s="123"/>
    </row>
    <row r="77" spans="1:14" customFormat="1" ht="15" customHeight="1" thickBot="1" x14ac:dyDescent="0.4">
      <c r="A77" t="s">
        <v>37</v>
      </c>
      <c r="B77" s="77">
        <v>700000</v>
      </c>
      <c r="C77" s="28">
        <f>+Inndata!B19</f>
        <v>40</v>
      </c>
      <c r="D77" s="125">
        <f>+C77*B77</f>
        <v>28000000</v>
      </c>
      <c r="E77" s="114" t="s">
        <v>220</v>
      </c>
    </row>
    <row r="78" spans="1:14" customFormat="1" ht="15" customHeight="1" x14ac:dyDescent="0.35">
      <c r="B78" s="127"/>
    </row>
    <row r="79" spans="1:14" customFormat="1" ht="15" customHeight="1" x14ac:dyDescent="0.35">
      <c r="A79" s="71" t="s">
        <v>234</v>
      </c>
      <c r="B79" s="71"/>
      <c r="C79" s="71"/>
      <c r="D79" s="71"/>
      <c r="E79" s="71"/>
      <c r="F79" s="71"/>
      <c r="G79" s="71"/>
    </row>
    <row r="80" spans="1:14" customFormat="1" ht="15" customHeight="1" x14ac:dyDescent="0.35">
      <c r="A80" t="s">
        <v>157</v>
      </c>
      <c r="B80" s="77">
        <v>141000</v>
      </c>
      <c r="J80" s="110"/>
      <c r="K80" s="110"/>
      <c r="L80" s="110"/>
    </row>
    <row r="81" spans="1:12" customFormat="1" ht="15" customHeight="1" x14ac:dyDescent="0.35">
      <c r="A81" t="s">
        <v>273</v>
      </c>
      <c r="B81" s="21">
        <f>+Inndata!B63</f>
        <v>340273955.85999995</v>
      </c>
      <c r="D81" s="12"/>
      <c r="E81" s="111"/>
      <c r="F81" s="111"/>
      <c r="J81" s="110"/>
      <c r="K81" s="110"/>
      <c r="L81" s="110"/>
    </row>
    <row r="82" spans="1:12" customFormat="1" ht="15" customHeight="1" x14ac:dyDescent="0.35">
      <c r="A82" t="s">
        <v>156</v>
      </c>
      <c r="B82" s="21">
        <f>+B81/B80</f>
        <v>2413.2904670921985</v>
      </c>
      <c r="D82" s="12"/>
      <c r="E82" s="111"/>
      <c r="F82" s="111"/>
      <c r="J82" s="110"/>
      <c r="K82" s="110"/>
      <c r="L82" s="110"/>
    </row>
    <row r="83" spans="1:12" customFormat="1" ht="15" customHeight="1" x14ac:dyDescent="0.35">
      <c r="A83" t="s">
        <v>236</v>
      </c>
      <c r="B83" s="21">
        <f>+B81/((B86*D86)+(B87*D87)+(B91*D91)+B94+(B92*D92)+(B93*D93)+ (B88*D88))</f>
        <v>2413.2904670921985</v>
      </c>
      <c r="D83" s="12"/>
      <c r="E83" s="111"/>
      <c r="F83" s="111"/>
      <c r="J83" s="110"/>
      <c r="K83" s="110"/>
      <c r="L83" s="110"/>
    </row>
    <row r="84" spans="1:12" customFormat="1" ht="15" customHeight="1" x14ac:dyDescent="0.35">
      <c r="B84" s="12"/>
      <c r="D84" s="12"/>
      <c r="E84" s="111"/>
      <c r="F84" s="111"/>
      <c r="J84" s="110"/>
      <c r="K84" s="110"/>
      <c r="L84" s="110"/>
    </row>
    <row r="85" spans="1:12" customFormat="1" ht="15" customHeight="1" x14ac:dyDescent="0.35">
      <c r="B85" s="23" t="s">
        <v>158</v>
      </c>
      <c r="C85" s="23" t="s">
        <v>72</v>
      </c>
      <c r="D85" s="23" t="s">
        <v>159</v>
      </c>
      <c r="E85" s="23" t="s">
        <v>160</v>
      </c>
      <c r="J85" s="110"/>
      <c r="K85" s="110"/>
    </row>
    <row r="86" spans="1:12" customFormat="1" ht="15" customHeight="1" x14ac:dyDescent="0.35">
      <c r="A86" t="s">
        <v>12</v>
      </c>
      <c r="B86" s="77">
        <v>39000</v>
      </c>
      <c r="C86" s="93">
        <f>+B86/$B$80</f>
        <v>0.27659574468085107</v>
      </c>
      <c r="D86" s="112">
        <v>1</v>
      </c>
      <c r="E86" s="113">
        <f>+B86*D86*$B$83</f>
        <v>94118328.216595739</v>
      </c>
      <c r="F86" s="114" t="s">
        <v>50</v>
      </c>
      <c r="J86" s="110"/>
      <c r="K86" s="110"/>
      <c r="L86" s="110"/>
    </row>
    <row r="87" spans="1:12" customFormat="1" ht="15" customHeight="1" x14ac:dyDescent="0.35">
      <c r="A87" t="s">
        <v>13</v>
      </c>
      <c r="B87" s="77">
        <v>6100</v>
      </c>
      <c r="C87" s="93">
        <f>+B87/$B$80</f>
        <v>4.326241134751773E-2</v>
      </c>
      <c r="D87" s="112">
        <v>1</v>
      </c>
      <c r="E87" s="113">
        <f>+B87*D87*$B$83</f>
        <v>14721071.849262411</v>
      </c>
      <c r="F87" s="114" t="s">
        <v>50</v>
      </c>
      <c r="J87" s="110"/>
      <c r="K87" s="110"/>
      <c r="L87" s="110"/>
    </row>
    <row r="88" spans="1:12" customFormat="1" ht="15" customHeight="1" x14ac:dyDescent="0.35">
      <c r="A88" t="s">
        <v>206</v>
      </c>
      <c r="B88" s="77">
        <v>1000</v>
      </c>
      <c r="C88" s="93">
        <f>+B88/$B$80</f>
        <v>7.0921985815602835E-3</v>
      </c>
      <c r="D88" s="112">
        <v>1</v>
      </c>
      <c r="E88" s="113">
        <f>+B88*D88*$B$83</f>
        <v>2413290.4670921983</v>
      </c>
      <c r="F88" s="114" t="s">
        <v>50</v>
      </c>
      <c r="J88" s="110"/>
      <c r="K88" s="110"/>
      <c r="L88" s="110"/>
    </row>
    <row r="89" spans="1:12" customFormat="1" ht="15" customHeight="1" x14ac:dyDescent="0.35">
      <c r="A89" s="74" t="s">
        <v>53</v>
      </c>
      <c r="B89" s="85">
        <f>SUM(B86:B88)</f>
        <v>46100</v>
      </c>
      <c r="C89" s="93">
        <f>+B89/$B$80</f>
        <v>0.32695035460992905</v>
      </c>
      <c r="D89" s="115"/>
      <c r="E89" s="85">
        <f>SUM(E86:E88)</f>
        <v>111252690.53295036</v>
      </c>
      <c r="F89" s="81"/>
      <c r="J89" s="110"/>
      <c r="K89" s="110"/>
    </row>
    <row r="90" spans="1:12" customFormat="1" ht="15" customHeight="1" x14ac:dyDescent="0.35">
      <c r="J90" s="110"/>
    </row>
    <row r="91" spans="1:12" customFormat="1" ht="15" customHeight="1" x14ac:dyDescent="0.35">
      <c r="A91" t="s">
        <v>76</v>
      </c>
      <c r="B91" s="77">
        <v>34000</v>
      </c>
      <c r="C91" s="93">
        <f>+B91/$B$80</f>
        <v>0.24113475177304963</v>
      </c>
      <c r="D91" s="112">
        <v>1</v>
      </c>
      <c r="E91" s="116">
        <f>+B91*D91*$B$83</f>
        <v>82051875.881134748</v>
      </c>
      <c r="F91" s="117">
        <f>+E91/$E$95</f>
        <v>0.3582718651211802</v>
      </c>
      <c r="G91" s="96" t="s">
        <v>166</v>
      </c>
      <c r="J91" s="110"/>
      <c r="K91" s="110"/>
      <c r="L91" s="110"/>
    </row>
    <row r="92" spans="1:12" customFormat="1" ht="15" customHeight="1" x14ac:dyDescent="0.35">
      <c r="A92" t="s">
        <v>17</v>
      </c>
      <c r="B92" s="77">
        <v>5300</v>
      </c>
      <c r="C92" s="93">
        <f>+B92/$B$80</f>
        <v>3.7588652482269502E-2</v>
      </c>
      <c r="D92" s="112">
        <v>1</v>
      </c>
      <c r="E92" s="116">
        <f>+B92*D92*$B$83</f>
        <v>12790439.475588651</v>
      </c>
      <c r="F92" s="117">
        <f>+E92/$E$95</f>
        <v>5.5848261327713387E-2</v>
      </c>
      <c r="G92" s="96" t="s">
        <v>165</v>
      </c>
      <c r="J92" s="110"/>
      <c r="K92" s="110"/>
      <c r="L92" s="110"/>
    </row>
    <row r="93" spans="1:12" customFormat="1" ht="15" customHeight="1" x14ac:dyDescent="0.35">
      <c r="A93" t="s">
        <v>14</v>
      </c>
      <c r="B93" s="77">
        <v>4100</v>
      </c>
      <c r="C93" s="93">
        <f>+B93/$B$80</f>
        <v>2.9078014184397163E-2</v>
      </c>
      <c r="D93" s="112">
        <v>1</v>
      </c>
      <c r="E93" s="116">
        <f>+B93*D93*$B$83</f>
        <v>9894490.9150780141</v>
      </c>
      <c r="F93" s="117">
        <f>+E93/$E$95</f>
        <v>4.3203371970495265E-2</v>
      </c>
      <c r="G93" s="96" t="s">
        <v>164</v>
      </c>
    </row>
    <row r="94" spans="1:12" customFormat="1" ht="15" customHeight="1" x14ac:dyDescent="0.35">
      <c r="A94" t="s">
        <v>15</v>
      </c>
      <c r="B94" s="21">
        <f>+B80-B89-B91-B93-B92</f>
        <v>51500</v>
      </c>
      <c r="C94" s="93">
        <f>+B94/$B$80</f>
        <v>0.36524822695035464</v>
      </c>
      <c r="D94" s="112">
        <v>1</v>
      </c>
      <c r="E94" s="116">
        <f>+B94*D94*$B$83</f>
        <v>124284459.05524822</v>
      </c>
      <c r="F94" s="117">
        <f>+E94/$E$95</f>
        <v>0.5426765015806112</v>
      </c>
      <c r="G94" s="96" t="s">
        <v>77</v>
      </c>
    </row>
    <row r="95" spans="1:12" customFormat="1" ht="15" customHeight="1" x14ac:dyDescent="0.35">
      <c r="A95" s="74" t="s">
        <v>75</v>
      </c>
      <c r="B95" s="79">
        <f>SUM(B91:B94)</f>
        <v>94900</v>
      </c>
      <c r="C95" s="93">
        <f>+B95/$B$80</f>
        <v>0.67304964539007095</v>
      </c>
      <c r="D95" s="118"/>
      <c r="E95" s="79">
        <f>SUM(E91:E94)</f>
        <v>229021265.32704961</v>
      </c>
      <c r="F95" s="119">
        <f>SUM(F91:F94)</f>
        <v>1</v>
      </c>
      <c r="G95" s="96"/>
    </row>
    <row r="96" spans="1:12" customFormat="1" ht="15" customHeight="1" x14ac:dyDescent="0.35">
      <c r="B96" s="6"/>
      <c r="D96" s="120"/>
      <c r="E96" s="121"/>
      <c r="G96" s="96"/>
    </row>
    <row r="97" spans="1:8" customFormat="1" ht="15" customHeight="1" x14ac:dyDescent="0.35">
      <c r="A97" s="74" t="s">
        <v>54</v>
      </c>
      <c r="B97" s="79">
        <f>+B95+B89</f>
        <v>141000</v>
      </c>
      <c r="C97" s="93">
        <f>+C95+C89</f>
        <v>1</v>
      </c>
      <c r="E97" s="79">
        <f>+E95+E89</f>
        <v>340273955.85999995</v>
      </c>
    </row>
    <row r="98" spans="1:8" customFormat="1" ht="15" customHeight="1" x14ac:dyDescent="0.35"/>
    <row r="99" spans="1:8" customFormat="1" ht="15" customHeight="1" x14ac:dyDescent="0.35">
      <c r="A99" s="71" t="s">
        <v>99</v>
      </c>
      <c r="B99" s="122" t="s">
        <v>79</v>
      </c>
      <c r="C99" s="122" t="s">
        <v>45</v>
      </c>
      <c r="D99" s="122" t="s">
        <v>46</v>
      </c>
      <c r="E99" s="122" t="s">
        <v>47</v>
      </c>
    </row>
    <row r="100" spans="1:8" customFormat="1" ht="15" customHeight="1" x14ac:dyDescent="0.35">
      <c r="A100" t="s">
        <v>207</v>
      </c>
      <c r="B100" s="28">
        <f>Inndata!B56</f>
        <v>1021015406.0800014</v>
      </c>
      <c r="C100" s="77">
        <v>0</v>
      </c>
      <c r="D100" s="113">
        <f>+B68+B69+B70+B71+D74+D77</f>
        <v>749000000</v>
      </c>
      <c r="E100" s="129">
        <f>+Inndata!B100-Inndata!C100-Inndata!D100</f>
        <v>272015406.08000135</v>
      </c>
    </row>
    <row r="101" spans="1:8" customFormat="1" ht="15" customHeight="1" x14ac:dyDescent="0.35">
      <c r="A101" t="s">
        <v>209</v>
      </c>
      <c r="B101" s="28">
        <f>+B57</f>
        <v>30000000</v>
      </c>
      <c r="D101" s="113">
        <f>+B101</f>
        <v>30000000</v>
      </c>
      <c r="E101" s="23"/>
    </row>
    <row r="102" spans="1:8" customFormat="1" ht="15" customHeight="1" x14ac:dyDescent="0.35">
      <c r="A102" t="s">
        <v>3</v>
      </c>
      <c r="B102" s="28">
        <f>Inndata!B58</f>
        <v>42904066.500000015</v>
      </c>
      <c r="C102" s="77">
        <v>0</v>
      </c>
      <c r="D102" s="113"/>
      <c r="E102" s="129">
        <f>+Inndata!B102-Inndata!C102-Inndata!D102</f>
        <v>42904066.500000015</v>
      </c>
      <c r="H102" s="1"/>
    </row>
    <row r="103" spans="1:8" customFormat="1" ht="15" customHeight="1" x14ac:dyDescent="0.35">
      <c r="A103" t="s">
        <v>117</v>
      </c>
      <c r="B103" s="28">
        <f>Inndata!B59</f>
        <v>15366858.329999998</v>
      </c>
      <c r="C103" s="77">
        <v>0</v>
      </c>
      <c r="D103" s="113"/>
      <c r="E103" s="129">
        <f>+Inndata!B103-Inndata!C103-Inndata!D103</f>
        <v>15366858.329999998</v>
      </c>
      <c r="H103" s="1"/>
    </row>
    <row r="104" spans="1:8" customFormat="1" ht="15" customHeight="1" x14ac:dyDescent="0.35">
      <c r="A104" t="s">
        <v>118</v>
      </c>
      <c r="B104" s="28">
        <f>Inndata!B60</f>
        <v>70986424.449999928</v>
      </c>
      <c r="C104" s="77">
        <v>0</v>
      </c>
      <c r="D104" s="113"/>
      <c r="E104" s="129">
        <f>+Inndata!B104-Inndata!C104-Inndata!D104</f>
        <v>70986424.449999928</v>
      </c>
      <c r="H104" s="1"/>
    </row>
    <row r="105" spans="1:8" customFormat="1" ht="15" customHeight="1" x14ac:dyDescent="0.35">
      <c r="A105" t="s">
        <v>66</v>
      </c>
      <c r="B105" s="28">
        <f>Inndata!B61</f>
        <v>95811506.820000038</v>
      </c>
      <c r="C105" s="77">
        <v>0</v>
      </c>
      <c r="D105" s="113"/>
      <c r="E105" s="129">
        <f>+Inndata!B105-Inndata!C105-Inndata!D105</f>
        <v>95811506.820000038</v>
      </c>
      <c r="H105" s="1"/>
    </row>
    <row r="106" spans="1:8" customFormat="1" ht="15" customHeight="1" x14ac:dyDescent="0.35">
      <c r="A106" t="s">
        <v>73</v>
      </c>
      <c r="B106" s="28">
        <f>Inndata!B62</f>
        <v>48510985.210000023</v>
      </c>
      <c r="C106" s="77">
        <v>0</v>
      </c>
      <c r="D106" s="113"/>
      <c r="E106" s="129">
        <f>+Inndata!B106-Inndata!C106-Inndata!D106</f>
        <v>48510985.210000023</v>
      </c>
      <c r="H106" s="1"/>
    </row>
    <row r="107" spans="1:8" customFormat="1" ht="15" customHeight="1" x14ac:dyDescent="0.35">
      <c r="A107" t="s">
        <v>0</v>
      </c>
      <c r="B107" s="28">
        <f>Inndata!B63</f>
        <v>340273955.85999995</v>
      </c>
      <c r="C107" s="77">
        <v>0</v>
      </c>
      <c r="D107" s="113">
        <f>+E86+E87+E88</f>
        <v>111252690.53295036</v>
      </c>
      <c r="E107" s="129">
        <f>+Inndata!B107-Inndata!C107-Inndata!D107</f>
        <v>229021265.32704961</v>
      </c>
      <c r="H107" s="1"/>
    </row>
    <row r="108" spans="1:8" customFormat="1" ht="15" customHeight="1" x14ac:dyDescent="0.35">
      <c r="A108" t="s">
        <v>288</v>
      </c>
      <c r="B108" s="28">
        <f>Inndata!B64</f>
        <v>24851955.520000018</v>
      </c>
      <c r="C108" s="77">
        <v>0</v>
      </c>
      <c r="D108" s="113"/>
      <c r="E108" s="129">
        <f>+Inndata!B108-Inndata!C108-Inndata!D108</f>
        <v>24851955.520000018</v>
      </c>
      <c r="H108" s="1"/>
    </row>
    <row r="109" spans="1:8" customFormat="1" ht="15" customHeight="1" x14ac:dyDescent="0.35">
      <c r="A109" s="74" t="s">
        <v>119</v>
      </c>
      <c r="B109" s="24">
        <f>SUM(B100:B108)</f>
        <v>1689721158.7700009</v>
      </c>
      <c r="C109" s="24">
        <f>SUM(C100:C108)</f>
        <v>0</v>
      </c>
      <c r="D109" s="24">
        <f>SUM(D100:D108)</f>
        <v>890252690.5329504</v>
      </c>
      <c r="E109" s="130">
        <f>SUM(E100:E108)</f>
        <v>799468468.23705089</v>
      </c>
      <c r="H109" s="1"/>
    </row>
    <row r="110" spans="1:8" customFormat="1" ht="15" customHeight="1" x14ac:dyDescent="0.35"/>
    <row r="111" spans="1:8" customFormat="1" ht="15" customHeight="1" x14ac:dyDescent="0.35"/>
    <row r="112" spans="1:8" customFormat="1" ht="15" customHeight="1" x14ac:dyDescent="0.35">
      <c r="F112" s="1"/>
      <c r="G112" s="1"/>
      <c r="H112" s="1"/>
    </row>
    <row r="113" spans="3:8" customFormat="1" ht="15" customHeight="1" x14ac:dyDescent="0.35">
      <c r="F113" s="1"/>
      <c r="G113" s="1"/>
      <c r="H113" s="1"/>
    </row>
    <row r="114" spans="3:8" customFormat="1" ht="15" customHeight="1" x14ac:dyDescent="0.35">
      <c r="D114" s="1"/>
      <c r="E114" s="1"/>
      <c r="F114" s="1"/>
      <c r="G114" s="1"/>
      <c r="H114" s="1"/>
    </row>
    <row r="115" spans="3:8" customFormat="1" ht="15" customHeight="1" x14ac:dyDescent="0.35">
      <c r="D115" s="1"/>
      <c r="E115" s="1"/>
      <c r="F115" s="1"/>
      <c r="G115" s="1"/>
      <c r="H115" s="1"/>
    </row>
    <row r="116" spans="3:8" customFormat="1" ht="15" customHeight="1" x14ac:dyDescent="0.35">
      <c r="D116" s="1"/>
      <c r="E116" s="1"/>
      <c r="F116" s="1"/>
      <c r="G116" s="1"/>
      <c r="H116" s="1"/>
    </row>
    <row r="117" spans="3:8" customFormat="1" ht="15" customHeight="1" x14ac:dyDescent="0.35">
      <c r="D117" s="1"/>
      <c r="E117" s="1"/>
      <c r="F117" s="1"/>
      <c r="G117" s="1"/>
      <c r="H117" s="1"/>
    </row>
    <row r="118" spans="3:8" customFormat="1" ht="15" customHeight="1" x14ac:dyDescent="0.35">
      <c r="D118" s="1"/>
      <c r="E118" s="1"/>
      <c r="F118" s="1"/>
      <c r="G118" s="1"/>
      <c r="H118" s="1"/>
    </row>
    <row r="119" spans="3:8" customFormat="1" ht="15" customHeight="1" x14ac:dyDescent="0.35">
      <c r="D119" s="1"/>
      <c r="E119" s="1"/>
      <c r="F119" s="1"/>
      <c r="G119" s="1"/>
      <c r="H119" s="1"/>
    </row>
    <row r="120" spans="3:8" customFormat="1" ht="15" customHeight="1" x14ac:dyDescent="0.35">
      <c r="D120" s="1"/>
      <c r="E120" s="1"/>
      <c r="F120" s="1"/>
      <c r="G120" s="1"/>
      <c r="H120" s="1"/>
    </row>
    <row r="121" spans="3:8" customFormat="1" ht="15" customHeight="1" x14ac:dyDescent="0.35">
      <c r="D121" s="1"/>
      <c r="E121" s="1"/>
      <c r="F121" s="1"/>
      <c r="G121" s="1"/>
      <c r="H121" s="1"/>
    </row>
    <row r="122" spans="3:8" customFormat="1" ht="15" customHeight="1" x14ac:dyDescent="0.35">
      <c r="D122" s="1"/>
      <c r="E122" s="1"/>
      <c r="F122" s="1"/>
      <c r="G122" s="1"/>
      <c r="H122" s="1"/>
    </row>
    <row r="123" spans="3:8" customFormat="1" ht="15" customHeight="1" x14ac:dyDescent="0.35">
      <c r="D123" s="1"/>
      <c r="E123" s="1"/>
      <c r="F123" s="1"/>
      <c r="G123" s="1"/>
      <c r="H123" s="1"/>
    </row>
    <row r="124" spans="3:8" ht="15" customHeight="1" x14ac:dyDescent="0.35">
      <c r="C124" s="2"/>
      <c r="D124" s="39"/>
      <c r="E124" s="39"/>
      <c r="F124" s="39"/>
      <c r="G124" s="39"/>
      <c r="H124" s="39"/>
    </row>
    <row r="125" spans="3:8" ht="15" customHeight="1" x14ac:dyDescent="0.35">
      <c r="C125" s="2"/>
      <c r="D125" s="39"/>
      <c r="E125" s="39"/>
      <c r="F125" s="39"/>
      <c r="G125" s="39"/>
      <c r="H125" s="39"/>
    </row>
    <row r="126" spans="3:8" ht="15" customHeight="1" x14ac:dyDescent="0.35">
      <c r="C126" s="2"/>
      <c r="D126" s="39"/>
      <c r="E126" s="39"/>
      <c r="F126" s="39"/>
      <c r="G126" s="39"/>
      <c r="H126" s="39"/>
    </row>
    <row r="127" spans="3:8" ht="15" customHeight="1" x14ac:dyDescent="0.35">
      <c r="C127" s="2"/>
      <c r="D127" s="39"/>
      <c r="E127" s="39"/>
      <c r="F127" s="39"/>
      <c r="G127" s="39"/>
      <c r="H127" s="39"/>
    </row>
    <row r="128" spans="3:8" ht="15" customHeight="1" x14ac:dyDescent="0.35">
      <c r="D128" s="1"/>
      <c r="E128" s="1"/>
      <c r="F128" s="1"/>
      <c r="G128" s="1"/>
      <c r="H128" s="1"/>
    </row>
    <row r="129" spans="4:8" ht="15" customHeight="1" x14ac:dyDescent="0.35">
      <c r="D129" s="1"/>
      <c r="E129" s="1"/>
      <c r="F129" s="1"/>
      <c r="G129" s="1"/>
      <c r="H129" s="1"/>
    </row>
    <row r="130" spans="4:8" ht="15" customHeight="1" x14ac:dyDescent="0.35">
      <c r="D130" s="1"/>
      <c r="E130" s="1"/>
      <c r="F130" s="1"/>
      <c r="G130" s="1"/>
      <c r="H130" s="1"/>
    </row>
    <row r="131" spans="4:8" ht="15" customHeight="1" x14ac:dyDescent="0.35">
      <c r="D131" s="1"/>
      <c r="E131" s="1"/>
      <c r="F131" s="1"/>
      <c r="G131" s="1"/>
      <c r="H131" s="1"/>
    </row>
    <row r="132" spans="4:8" ht="15" customHeight="1" x14ac:dyDescent="0.35">
      <c r="D132" s="1"/>
      <c r="E132" s="1"/>
      <c r="F132" s="1"/>
      <c r="G132" s="1"/>
      <c r="H132" s="1"/>
    </row>
    <row r="133" spans="4:8" ht="15" customHeight="1" x14ac:dyDescent="0.35">
      <c r="D133" s="1"/>
      <c r="E133" s="1"/>
      <c r="F133" s="1"/>
      <c r="G133" s="1"/>
      <c r="H133" s="1"/>
    </row>
    <row r="134" spans="4:8" ht="15" customHeight="1" x14ac:dyDescent="0.35">
      <c r="D134" s="1"/>
      <c r="E134" s="1"/>
      <c r="F134" s="1"/>
      <c r="G134" s="1"/>
      <c r="H134" s="1"/>
    </row>
    <row r="135" spans="4:8" ht="15" customHeight="1" x14ac:dyDescent="0.35">
      <c r="D135" s="1"/>
      <c r="H135" s="1"/>
    </row>
    <row r="136" spans="4:8" ht="15" customHeight="1" x14ac:dyDescent="0.35">
      <c r="D136" s="1"/>
      <c r="H136" s="1"/>
    </row>
    <row r="137" spans="4:8" ht="15" customHeight="1" x14ac:dyDescent="0.35">
      <c r="D137" s="1"/>
      <c r="H137" s="1"/>
    </row>
    <row r="138" spans="4:8" ht="15" customHeight="1" x14ac:dyDescent="0.35">
      <c r="D138" s="1"/>
      <c r="H138" s="1"/>
    </row>
    <row r="139" spans="4:8" ht="15" customHeight="1" x14ac:dyDescent="0.35">
      <c r="D139" s="1"/>
      <c r="H139" s="1"/>
    </row>
    <row r="140" spans="4:8" ht="15" customHeight="1" x14ac:dyDescent="0.35">
      <c r="D140" s="1"/>
      <c r="H140" s="1"/>
    </row>
    <row r="141" spans="4:8" ht="15" customHeight="1" x14ac:dyDescent="0.35">
      <c r="D141" s="1"/>
      <c r="H141" s="1"/>
    </row>
    <row r="142" spans="4:8" ht="15" customHeight="1" x14ac:dyDescent="0.35">
      <c r="D142" s="1"/>
      <c r="H142" s="1"/>
    </row>
    <row r="143" spans="4:8" ht="15" customHeight="1" x14ac:dyDescent="0.35">
      <c r="D143" s="1"/>
      <c r="H143" s="1"/>
    </row>
    <row r="144" spans="4:8" ht="15" customHeight="1" x14ac:dyDescent="0.35">
      <c r="D144" s="1"/>
      <c r="H144" s="1"/>
    </row>
    <row r="145" spans="4:8" ht="15" customHeight="1" x14ac:dyDescent="0.35">
      <c r="D145" s="1"/>
      <c r="E145" s="1"/>
      <c r="F145" s="1"/>
      <c r="G145" s="1"/>
      <c r="H145" s="1"/>
    </row>
  </sheetData>
  <mergeCells count="2">
    <mergeCell ref="E25:G25"/>
    <mergeCell ref="B3:D3"/>
  </mergeCells>
  <phoneticPr fontId="4" type="noConversion"/>
  <pageMargins left="0.7" right="0.7" top="0.75" bottom="0.75" header="0.3" footer="0.3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A7B8C-99F7-4774-A803-3E51FC93EBB8}">
  <sheetPr>
    <tabColor rgb="FFFF0000"/>
    <pageSetUpPr fitToPage="1"/>
  </sheetPr>
  <dimension ref="A1:AG98"/>
  <sheetViews>
    <sheetView showGridLines="0" zoomScale="98" zoomScaleNormal="98" workbookViewId="0">
      <selection activeCell="A3" sqref="A3"/>
    </sheetView>
  </sheetViews>
  <sheetFormatPr baseColWidth="10" defaultRowHeight="14.5" x14ac:dyDescent="0.35"/>
  <cols>
    <col min="1" max="1" width="27" customWidth="1"/>
    <col min="2" max="2" width="17.81640625" bestFit="1" customWidth="1"/>
    <col min="3" max="3" width="20.7265625" customWidth="1"/>
    <col min="4" max="4" width="23.1796875" customWidth="1"/>
    <col min="5" max="5" width="15.54296875" customWidth="1"/>
    <col min="6" max="6" width="14" bestFit="1" customWidth="1"/>
    <col min="7" max="7" width="20.453125" bestFit="1" customWidth="1"/>
    <col min="8" max="8" width="25.54296875" customWidth="1"/>
    <col min="9" max="9" width="17.54296875" customWidth="1"/>
    <col min="10" max="10" width="15.1796875" bestFit="1" customWidth="1"/>
    <col min="11" max="11" width="17.26953125" customWidth="1"/>
    <col min="12" max="12" width="15.1796875" customWidth="1"/>
    <col min="13" max="13" width="15.81640625" customWidth="1"/>
    <col min="14" max="14" width="19.7265625" customWidth="1"/>
    <col min="15" max="15" width="18.81640625" customWidth="1"/>
    <col min="16" max="16" width="13.54296875" customWidth="1"/>
    <col min="17" max="17" width="16.26953125" style="1" customWidth="1"/>
    <col min="18" max="18" width="20.81640625" style="1" customWidth="1"/>
    <col min="19" max="19" width="20.54296875" style="1" customWidth="1"/>
    <col min="20" max="20" width="15.1796875" style="1" customWidth="1"/>
    <col min="21" max="21" width="19.453125" style="1" customWidth="1"/>
    <col min="22" max="22" width="17.54296875" style="1" customWidth="1"/>
    <col min="23" max="23" width="14.453125" style="1" customWidth="1"/>
    <col min="24" max="24" width="15.7265625" style="1" bestFit="1" customWidth="1"/>
    <col min="25" max="25" width="18.26953125" style="1" customWidth="1"/>
    <col min="26" max="26" width="15.26953125" style="1" bestFit="1" customWidth="1"/>
    <col min="27" max="27" width="14.453125" style="1" bestFit="1" customWidth="1"/>
    <col min="28" max="28" width="18.81640625" style="1" customWidth="1"/>
    <col min="29" max="29" width="14.453125" style="1" customWidth="1"/>
    <col min="30" max="30" width="12" style="1" bestFit="1" customWidth="1"/>
    <col min="31" max="31" width="13.7265625" style="1" bestFit="1" customWidth="1"/>
    <col min="32" max="32" width="17.26953125" style="1" bestFit="1" customWidth="1"/>
    <col min="33" max="33" width="20.1796875" style="1" bestFit="1" customWidth="1"/>
    <col min="34" max="34" width="12" bestFit="1" customWidth="1"/>
    <col min="35" max="35" width="13" bestFit="1" customWidth="1"/>
    <col min="36" max="36" width="14" bestFit="1" customWidth="1"/>
    <col min="37" max="37" width="7.453125" bestFit="1" customWidth="1"/>
    <col min="38" max="38" width="13" bestFit="1" customWidth="1"/>
  </cols>
  <sheetData>
    <row r="1" spans="1:33" ht="26" x14ac:dyDescent="0.6">
      <c r="A1" s="29" t="s">
        <v>61</v>
      </c>
      <c r="B1" s="30"/>
      <c r="C1" s="30"/>
      <c r="D1" s="30"/>
      <c r="E1" s="30"/>
      <c r="F1" s="30"/>
      <c r="G1" s="30"/>
      <c r="H1" s="30"/>
      <c r="I1" s="30"/>
      <c r="J1" s="30"/>
      <c r="AF1"/>
      <c r="AG1"/>
    </row>
    <row r="2" spans="1:33" ht="18.75" customHeight="1" x14ac:dyDescent="0.6">
      <c r="A2" s="29"/>
      <c r="B2" s="30"/>
      <c r="C2" s="30"/>
      <c r="D2" s="30"/>
      <c r="E2" s="30"/>
      <c r="F2" s="30"/>
      <c r="G2" s="30"/>
      <c r="H2" s="30"/>
      <c r="I2" s="30"/>
      <c r="J2" s="30"/>
      <c r="AF2"/>
      <c r="AG2"/>
    </row>
    <row r="3" spans="1:33" ht="18.75" customHeight="1" x14ac:dyDescent="0.45">
      <c r="A3" s="174" t="str">
        <f>+Inndata!B3</f>
        <v>Universitetshøyskolen</v>
      </c>
      <c r="B3" s="30"/>
      <c r="C3" s="30"/>
      <c r="D3" s="30"/>
      <c r="E3" s="30"/>
      <c r="F3" s="30"/>
      <c r="G3" s="30"/>
      <c r="H3" s="30"/>
      <c r="I3" s="30"/>
      <c r="J3" s="30"/>
      <c r="AF3"/>
      <c r="AG3"/>
    </row>
    <row r="4" spans="1:33" ht="18.75" customHeight="1" x14ac:dyDescent="0.45">
      <c r="A4" s="193">
        <f>+Inndata!B6</f>
        <v>2022</v>
      </c>
      <c r="B4" s="30"/>
      <c r="C4" s="30"/>
      <c r="D4" s="30"/>
      <c r="E4" s="30"/>
      <c r="F4" s="30"/>
      <c r="G4" s="30"/>
      <c r="H4" s="30"/>
      <c r="I4" s="30"/>
      <c r="J4" s="30"/>
      <c r="AF4"/>
      <c r="AG4"/>
    </row>
    <row r="5" spans="1:33" ht="15" thickBot="1" x14ac:dyDescent="0.4">
      <c r="AE5"/>
      <c r="AF5"/>
      <c r="AG5"/>
    </row>
    <row r="6" spans="1:33" x14ac:dyDescent="0.35">
      <c r="A6" s="145" t="s">
        <v>210</v>
      </c>
      <c r="B6" s="146"/>
      <c r="C6" s="145" t="s">
        <v>215</v>
      </c>
      <c r="D6" s="146"/>
      <c r="E6" s="147"/>
      <c r="F6" s="146"/>
      <c r="G6" s="146"/>
      <c r="H6" s="147"/>
      <c r="I6" s="145"/>
      <c r="J6" s="146"/>
      <c r="K6" s="147"/>
      <c r="L6" s="145"/>
      <c r="M6" s="146"/>
      <c r="N6" s="147"/>
      <c r="O6" s="145" t="s">
        <v>214</v>
      </c>
      <c r="P6" s="146"/>
      <c r="Q6" s="147"/>
      <c r="AE6"/>
      <c r="AF6"/>
      <c r="AG6"/>
    </row>
    <row r="7" spans="1:33" ht="15" thickBot="1" x14ac:dyDescent="0.4">
      <c r="A7" s="142" t="s">
        <v>25</v>
      </c>
      <c r="B7" s="143" t="s">
        <v>70</v>
      </c>
      <c r="C7" s="142" t="s">
        <v>216</v>
      </c>
      <c r="D7" s="143" t="s">
        <v>106</v>
      </c>
      <c r="E7" s="144" t="s">
        <v>70</v>
      </c>
      <c r="F7" s="143" t="s">
        <v>211</v>
      </c>
      <c r="G7" s="143" t="s">
        <v>106</v>
      </c>
      <c r="H7" s="144" t="s">
        <v>70</v>
      </c>
      <c r="I7" s="142" t="s">
        <v>212</v>
      </c>
      <c r="J7" s="143" t="s">
        <v>106</v>
      </c>
      <c r="K7" s="144" t="s">
        <v>70</v>
      </c>
      <c r="L7" s="142" t="s">
        <v>213</v>
      </c>
      <c r="M7" s="143" t="s">
        <v>106</v>
      </c>
      <c r="N7" s="144" t="s">
        <v>70</v>
      </c>
      <c r="O7" s="162" t="s">
        <v>71</v>
      </c>
      <c r="P7" s="143"/>
      <c r="Q7" s="144" t="s">
        <v>70</v>
      </c>
      <c r="R7"/>
      <c r="AF7"/>
      <c r="AG7"/>
    </row>
    <row r="8" spans="1:33" x14ac:dyDescent="0.35">
      <c r="A8" s="42" t="s">
        <v>218</v>
      </c>
      <c r="B8" s="47">
        <f>+Inndata!E100</f>
        <v>272015406.08000135</v>
      </c>
      <c r="C8" s="154" t="s">
        <v>218</v>
      </c>
      <c r="D8" s="17">
        <v>1</v>
      </c>
      <c r="E8" s="50">
        <f>+D8*B8</f>
        <v>272015406.08000135</v>
      </c>
      <c r="F8" s="12" t="s">
        <v>23</v>
      </c>
      <c r="G8" s="17">
        <f>+Inndata!E46</f>
        <v>0.49504950495049505</v>
      </c>
      <c r="H8" s="54">
        <f>+G8*E8</f>
        <v>134661092.11881256</v>
      </c>
      <c r="I8" s="12"/>
      <c r="J8" s="13"/>
      <c r="K8" s="57"/>
      <c r="L8" s="11"/>
      <c r="M8" s="12"/>
      <c r="N8" s="54"/>
      <c r="O8" s="12" t="s">
        <v>23</v>
      </c>
      <c r="P8" s="13"/>
      <c r="Q8" s="54">
        <f>+H8</f>
        <v>134661092.11881256</v>
      </c>
      <c r="R8"/>
      <c r="AF8"/>
      <c r="AG8"/>
    </row>
    <row r="9" spans="1:33" x14ac:dyDescent="0.35">
      <c r="A9" s="42"/>
      <c r="B9" s="47"/>
      <c r="C9" s="154"/>
      <c r="D9" s="47"/>
      <c r="E9" s="50"/>
      <c r="F9" s="12" t="s">
        <v>69</v>
      </c>
      <c r="G9" s="17">
        <f>1-G8</f>
        <v>0.50495049504950495</v>
      </c>
      <c r="H9" s="54">
        <f>+G9*E8</f>
        <v>137354313.96118879</v>
      </c>
      <c r="I9" s="12" t="s">
        <v>19</v>
      </c>
      <c r="J9" s="17">
        <f>1-J10</f>
        <v>0.57385620915032676</v>
      </c>
      <c r="K9" s="57">
        <f>+J9*H9</f>
        <v>78821625.920211598</v>
      </c>
      <c r="L9" s="11"/>
      <c r="M9" s="12"/>
      <c r="N9" s="54"/>
      <c r="O9" s="12" t="s">
        <v>19</v>
      </c>
      <c r="P9" s="13"/>
      <c r="Q9" s="54">
        <f>+K9</f>
        <v>78821625.920211598</v>
      </c>
      <c r="R9"/>
      <c r="AF9"/>
      <c r="AG9"/>
    </row>
    <row r="10" spans="1:33" ht="15" thickBot="1" x14ac:dyDescent="0.4">
      <c r="A10" s="42"/>
      <c r="B10" s="47"/>
      <c r="C10" s="154"/>
      <c r="D10" s="47"/>
      <c r="E10" s="50"/>
      <c r="F10" s="12"/>
      <c r="G10" s="13"/>
      <c r="H10" s="54"/>
      <c r="I10" s="12" t="s">
        <v>7</v>
      </c>
      <c r="J10" s="17">
        <f>+Inndata!$D$35</f>
        <v>0.42614379084967319</v>
      </c>
      <c r="K10" s="57">
        <f>+J10*H9</f>
        <v>58532688.04097718</v>
      </c>
      <c r="L10" s="11"/>
      <c r="M10" s="12"/>
      <c r="N10" s="54"/>
      <c r="O10" s="12" t="s">
        <v>7</v>
      </c>
      <c r="P10" s="13"/>
      <c r="Q10" s="54">
        <f>+K10</f>
        <v>58532688.04097718</v>
      </c>
      <c r="R10"/>
      <c r="AF10"/>
      <c r="AG10"/>
    </row>
    <row r="11" spans="1:33" x14ac:dyDescent="0.35">
      <c r="A11" s="41" t="s">
        <v>3</v>
      </c>
      <c r="B11" s="49">
        <f>+Inndata!E102</f>
        <v>42904066.500000015</v>
      </c>
      <c r="C11" s="153" t="s">
        <v>208</v>
      </c>
      <c r="D11" s="20">
        <f>+Inndata!$E$13</f>
        <v>0.12571428571428572</v>
      </c>
      <c r="E11" s="46">
        <f>+D11*B11</f>
        <v>5393654.0742857167</v>
      </c>
      <c r="F11" s="155"/>
      <c r="G11" s="140"/>
      <c r="H11" s="156"/>
      <c r="I11" s="140"/>
      <c r="J11" s="140"/>
      <c r="K11" s="140"/>
      <c r="L11" s="155"/>
      <c r="M11" s="140"/>
      <c r="N11" s="156"/>
      <c r="O11" s="157" t="s">
        <v>208</v>
      </c>
      <c r="P11" s="140"/>
      <c r="Q11" s="53">
        <f>+E11</f>
        <v>5393654.0742857167</v>
      </c>
      <c r="R11"/>
      <c r="AF11"/>
      <c r="AG11"/>
    </row>
    <row r="12" spans="1:33" x14ac:dyDescent="0.35">
      <c r="A12" s="42"/>
      <c r="B12" s="50"/>
      <c r="C12" s="154" t="s">
        <v>3</v>
      </c>
      <c r="D12" s="17">
        <f>1-D11</f>
        <v>0.87428571428571433</v>
      </c>
      <c r="E12" s="47">
        <f>+D12*B11</f>
        <v>37510412.425714299</v>
      </c>
      <c r="F12" s="11" t="s">
        <v>23</v>
      </c>
      <c r="G12" s="17">
        <f>+Inndata!E47</f>
        <v>0.71022727272727271</v>
      </c>
      <c r="H12" s="54">
        <f>+G12*E12</f>
        <v>26640917.915990267</v>
      </c>
      <c r="I12" s="12"/>
      <c r="J12" s="13"/>
      <c r="K12" s="57"/>
      <c r="L12" s="11"/>
      <c r="M12" s="12"/>
      <c r="N12" s="54"/>
      <c r="O12" s="11" t="s">
        <v>23</v>
      </c>
      <c r="P12" s="13"/>
      <c r="Q12" s="54">
        <f>+H12</f>
        <v>26640917.915990267</v>
      </c>
      <c r="R12"/>
      <c r="S12" s="66"/>
      <c r="AF12"/>
      <c r="AG12"/>
    </row>
    <row r="13" spans="1:33" x14ac:dyDescent="0.35">
      <c r="A13" s="42"/>
      <c r="B13" s="50"/>
      <c r="C13" s="154"/>
      <c r="D13" s="47"/>
      <c r="E13" s="47"/>
      <c r="F13" s="11" t="s">
        <v>69</v>
      </c>
      <c r="G13" s="17">
        <f>1-G12</f>
        <v>0.28977272727272729</v>
      </c>
      <c r="H13" s="54">
        <f>+G13*E12</f>
        <v>10869494.50972403</v>
      </c>
      <c r="I13" s="12" t="s">
        <v>19</v>
      </c>
      <c r="J13" s="17">
        <f>1-J14</f>
        <v>0.57385620915032676</v>
      </c>
      <c r="K13" s="57">
        <f>+J13*H13</f>
        <v>6237526.9147305219</v>
      </c>
      <c r="L13" s="11"/>
      <c r="M13" s="12"/>
      <c r="N13" s="54"/>
      <c r="O13" s="11" t="s">
        <v>19</v>
      </c>
      <c r="P13" s="13"/>
      <c r="Q13" s="54">
        <f>+K13</f>
        <v>6237526.9147305219</v>
      </c>
      <c r="R13"/>
      <c r="AF13"/>
      <c r="AG13"/>
    </row>
    <row r="14" spans="1:33" ht="15" thickBot="1" x14ac:dyDescent="0.4">
      <c r="A14" s="42"/>
      <c r="B14" s="50"/>
      <c r="C14" s="154"/>
      <c r="D14" s="47"/>
      <c r="E14" s="47"/>
      <c r="F14" s="11"/>
      <c r="G14" s="13"/>
      <c r="H14" s="54"/>
      <c r="I14" s="12" t="s">
        <v>7</v>
      </c>
      <c r="J14" s="17">
        <f>+Inndata!$D$35</f>
        <v>0.42614379084967319</v>
      </c>
      <c r="K14" s="57">
        <f>+J14*H13</f>
        <v>4631967.5949935084</v>
      </c>
      <c r="L14" s="11"/>
      <c r="M14" s="12"/>
      <c r="N14" s="54"/>
      <c r="O14" s="11" t="s">
        <v>7</v>
      </c>
      <c r="P14" s="13"/>
      <c r="Q14" s="54">
        <f>+K14</f>
        <v>4631967.5949935084</v>
      </c>
      <c r="R14"/>
      <c r="AF14"/>
      <c r="AG14"/>
    </row>
    <row r="15" spans="1:33" x14ac:dyDescent="0.35">
      <c r="A15" s="41" t="s">
        <v>24</v>
      </c>
      <c r="B15" s="49">
        <f>+Inndata!E103</f>
        <v>15366858.329999998</v>
      </c>
      <c r="C15" s="158" t="s">
        <v>208</v>
      </c>
      <c r="D15" s="20">
        <f>+Inndata!$E$13</f>
        <v>0.12571428571428572</v>
      </c>
      <c r="E15" s="46">
        <f>+D15*B15</f>
        <v>1931833.6186285713</v>
      </c>
      <c r="F15" s="155"/>
      <c r="G15" s="140"/>
      <c r="H15" s="156"/>
      <c r="I15" s="9"/>
      <c r="J15" s="10"/>
      <c r="K15" s="56"/>
      <c r="L15" s="8"/>
      <c r="M15" s="10"/>
      <c r="N15" s="53"/>
      <c r="O15" s="8" t="s">
        <v>208</v>
      </c>
      <c r="P15" s="140"/>
      <c r="Q15" s="141">
        <f>+E15</f>
        <v>1931833.6186285713</v>
      </c>
      <c r="R15"/>
      <c r="AF15"/>
      <c r="AG15"/>
    </row>
    <row r="16" spans="1:33" ht="15" thickBot="1" x14ac:dyDescent="0.4">
      <c r="A16" s="43"/>
      <c r="B16" s="51"/>
      <c r="C16" s="159" t="s">
        <v>24</v>
      </c>
      <c r="D16" s="18">
        <f>1-D15</f>
        <v>0.87428571428571433</v>
      </c>
      <c r="E16" s="48">
        <f>+D16*B15</f>
        <v>13435024.711371427</v>
      </c>
      <c r="F16" s="14" t="s">
        <v>7</v>
      </c>
      <c r="G16" s="18">
        <v>1</v>
      </c>
      <c r="H16" s="55">
        <f>+G16*E16</f>
        <v>13435024.711371427</v>
      </c>
      <c r="I16" s="15"/>
      <c r="J16" s="16"/>
      <c r="K16" s="58"/>
      <c r="L16" s="14"/>
      <c r="M16" s="16"/>
      <c r="N16" s="55"/>
      <c r="O16" s="14" t="s">
        <v>7</v>
      </c>
      <c r="P16" s="16"/>
      <c r="Q16" s="55">
        <f>+H16</f>
        <v>13435024.711371427</v>
      </c>
      <c r="R16"/>
      <c r="AF16"/>
      <c r="AG16"/>
    </row>
    <row r="17" spans="1:33" ht="15" thickBot="1" x14ac:dyDescent="0.4">
      <c r="A17" s="42" t="s">
        <v>11</v>
      </c>
      <c r="B17" s="47">
        <f>+Inndata!E104</f>
        <v>70986424.449999928</v>
      </c>
      <c r="C17" s="154" t="s">
        <v>11</v>
      </c>
      <c r="D17" s="17">
        <v>1</v>
      </c>
      <c r="E17" s="50">
        <f>+D17*B17</f>
        <v>70986424.449999928</v>
      </c>
      <c r="F17" s="12" t="s">
        <v>23</v>
      </c>
      <c r="G17" s="17">
        <v>1</v>
      </c>
      <c r="H17" s="54">
        <f>G17*E17</f>
        <v>70986424.449999928</v>
      </c>
      <c r="I17" s="11"/>
      <c r="J17" s="13"/>
      <c r="K17" s="54"/>
      <c r="L17" s="11"/>
      <c r="M17" s="13"/>
      <c r="N17" s="54"/>
      <c r="O17" s="12" t="s">
        <v>23</v>
      </c>
      <c r="P17" s="13"/>
      <c r="Q17" s="54">
        <f t="shared" ref="Q17:Q24" si="0">+H17</f>
        <v>70986424.449999928</v>
      </c>
      <c r="R17"/>
      <c r="AF17"/>
      <c r="AG17"/>
    </row>
    <row r="18" spans="1:33" x14ac:dyDescent="0.35">
      <c r="A18" s="41" t="s">
        <v>66</v>
      </c>
      <c r="B18" s="46">
        <f>+Inndata!E105</f>
        <v>95811506.820000038</v>
      </c>
      <c r="C18" s="153" t="s">
        <v>208</v>
      </c>
      <c r="D18" s="20">
        <f>+Inndata!$E$13</f>
        <v>0.12571428571428572</v>
      </c>
      <c r="E18" s="49">
        <f>+D18*B18</f>
        <v>12044875.14308572</v>
      </c>
      <c r="F18" s="140"/>
      <c r="G18" s="140"/>
      <c r="H18" s="140"/>
      <c r="I18" s="155"/>
      <c r="J18" s="140"/>
      <c r="K18" s="156"/>
      <c r="L18" s="155"/>
      <c r="M18" s="140"/>
      <c r="N18" s="156"/>
      <c r="O18" s="167" t="s">
        <v>208</v>
      </c>
      <c r="P18" s="140"/>
      <c r="Q18" s="141">
        <f>+E18</f>
        <v>12044875.14308572</v>
      </c>
      <c r="R18"/>
      <c r="AF18"/>
      <c r="AG18"/>
    </row>
    <row r="19" spans="1:33" x14ac:dyDescent="0.35">
      <c r="A19" s="42"/>
      <c r="B19" s="47"/>
      <c r="C19" s="154" t="s">
        <v>66</v>
      </c>
      <c r="D19" s="17">
        <f>1-D18</f>
        <v>0.87428571428571433</v>
      </c>
      <c r="E19" s="50">
        <f>+D19*B18</f>
        <v>83766631.676914319</v>
      </c>
      <c r="F19" s="12" t="s">
        <v>18</v>
      </c>
      <c r="G19" s="17">
        <f>1-G20</f>
        <v>0.66666666666666674</v>
      </c>
      <c r="H19" s="57">
        <f>+G19*E19</f>
        <v>55844421.117942885</v>
      </c>
      <c r="I19" s="11"/>
      <c r="J19" s="13"/>
      <c r="K19" s="54"/>
      <c r="L19" s="11"/>
      <c r="M19" s="13"/>
      <c r="N19" s="54"/>
      <c r="O19" s="168" t="s">
        <v>18</v>
      </c>
      <c r="P19" s="13"/>
      <c r="Q19" s="54">
        <f>+H19</f>
        <v>55844421.117942885</v>
      </c>
      <c r="R19"/>
      <c r="AF19"/>
      <c r="AG19"/>
    </row>
    <row r="20" spans="1:33" ht="15" thickBot="1" x14ac:dyDescent="0.4">
      <c r="A20" s="42"/>
      <c r="B20" s="47"/>
      <c r="C20" s="154"/>
      <c r="D20" s="47"/>
      <c r="E20" s="50"/>
      <c r="F20" s="12" t="s">
        <v>23</v>
      </c>
      <c r="G20" s="17">
        <f>+Inndata!E52</f>
        <v>0.33333333333333331</v>
      </c>
      <c r="H20" s="57">
        <f>+G20*E19</f>
        <v>27922210.558971439</v>
      </c>
      <c r="I20" s="11"/>
      <c r="J20" s="13"/>
      <c r="K20" s="54"/>
      <c r="L20" s="11"/>
      <c r="M20" s="13"/>
      <c r="N20" s="54"/>
      <c r="O20" s="168" t="s">
        <v>23</v>
      </c>
      <c r="P20" s="13"/>
      <c r="Q20" s="54">
        <f>+H20</f>
        <v>27922210.558971439</v>
      </c>
      <c r="R20"/>
      <c r="AF20"/>
      <c r="AG20"/>
    </row>
    <row r="21" spans="1:33" x14ac:dyDescent="0.35">
      <c r="A21" s="41" t="s">
        <v>73</v>
      </c>
      <c r="B21" s="46">
        <f>+Inndata!E106</f>
        <v>48510985.210000023</v>
      </c>
      <c r="C21" s="153" t="s">
        <v>208</v>
      </c>
      <c r="D21" s="20">
        <f>+Inndata!$E$13</f>
        <v>0.12571428571428572</v>
      </c>
      <c r="E21" s="46">
        <f>+D21*B21</f>
        <v>6098523.8549714321</v>
      </c>
      <c r="F21" s="155"/>
      <c r="G21" s="140"/>
      <c r="H21" s="140"/>
      <c r="I21" s="155"/>
      <c r="J21" s="140"/>
      <c r="K21" s="156"/>
      <c r="L21" s="140"/>
      <c r="M21" s="140"/>
      <c r="N21" s="140"/>
      <c r="O21" s="167" t="s">
        <v>208</v>
      </c>
      <c r="P21" s="140"/>
      <c r="Q21" s="141">
        <f>+E21</f>
        <v>6098523.8549714321</v>
      </c>
      <c r="R21"/>
      <c r="AF21"/>
      <c r="AG21"/>
    </row>
    <row r="22" spans="1:33" ht="15" thickBot="1" x14ac:dyDescent="0.4">
      <c r="A22" s="43"/>
      <c r="B22" s="48"/>
      <c r="C22" s="160" t="s">
        <v>73</v>
      </c>
      <c r="D22" s="18">
        <f>1-D21</f>
        <v>0.87428571428571433</v>
      </c>
      <c r="E22" s="48">
        <f>+D22*B21</f>
        <v>42412461.355028592</v>
      </c>
      <c r="F22" s="14" t="s">
        <v>18</v>
      </c>
      <c r="G22" s="18">
        <v>1</v>
      </c>
      <c r="H22" s="58">
        <f>G22*E22</f>
        <v>42412461.355028592</v>
      </c>
      <c r="I22" s="14"/>
      <c r="J22" s="16"/>
      <c r="K22" s="55"/>
      <c r="L22" s="15"/>
      <c r="M22" s="16"/>
      <c r="N22" s="58"/>
      <c r="O22" s="166" t="s">
        <v>18</v>
      </c>
      <c r="P22" s="16"/>
      <c r="Q22" s="55">
        <f>+H22</f>
        <v>42412461.355028592</v>
      </c>
      <c r="R22"/>
      <c r="AF22"/>
      <c r="AG22"/>
    </row>
    <row r="23" spans="1:33" x14ac:dyDescent="0.35">
      <c r="A23" s="42" t="s">
        <v>0</v>
      </c>
      <c r="B23" s="47">
        <f>+Inndata!E107</f>
        <v>229021265.32704961</v>
      </c>
      <c r="C23" s="154" t="s">
        <v>0</v>
      </c>
      <c r="D23" s="17">
        <v>1</v>
      </c>
      <c r="E23" s="50">
        <f>+D23*B23</f>
        <v>229021265.32704961</v>
      </c>
      <c r="F23" s="12" t="s">
        <v>18</v>
      </c>
      <c r="G23" s="17">
        <f>+Inndata!F91</f>
        <v>0.3582718651211802</v>
      </c>
      <c r="H23" s="54">
        <f>+G23*E23</f>
        <v>82051875.881134748</v>
      </c>
      <c r="I23" s="11"/>
      <c r="J23" s="13"/>
      <c r="K23" s="54"/>
      <c r="L23" s="11"/>
      <c r="M23" s="13"/>
      <c r="N23" s="54"/>
      <c r="O23" s="164" t="str">
        <f>+F23</f>
        <v>Arbeidsplass</v>
      </c>
      <c r="P23" s="13"/>
      <c r="Q23" s="54">
        <f t="shared" si="0"/>
        <v>82051875.881134748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x14ac:dyDescent="0.35">
      <c r="A24" s="42"/>
      <c r="B24" s="47"/>
      <c r="C24" s="154"/>
      <c r="D24" s="47"/>
      <c r="E24" s="50"/>
      <c r="F24" s="12" t="s">
        <v>23</v>
      </c>
      <c r="G24" s="17">
        <f>+Inndata!F92</f>
        <v>5.5848261327713387E-2</v>
      </c>
      <c r="H24" s="54">
        <f>+G24*E23</f>
        <v>12790439.475588651</v>
      </c>
      <c r="I24" s="11"/>
      <c r="K24" s="54"/>
      <c r="L24" s="11"/>
      <c r="M24" s="13"/>
      <c r="N24" s="54"/>
      <c r="O24" s="164" t="s">
        <v>23</v>
      </c>
      <c r="P24" s="13"/>
      <c r="Q24" s="54">
        <f t="shared" si="0"/>
        <v>12790439.475588651</v>
      </c>
      <c r="R24"/>
      <c r="S24"/>
      <c r="T24"/>
      <c r="U24"/>
      <c r="W24"/>
      <c r="X24"/>
      <c r="Y24"/>
      <c r="Z24"/>
      <c r="AA24"/>
      <c r="AB24"/>
      <c r="AC24"/>
      <c r="AD24"/>
      <c r="AE24"/>
      <c r="AF24"/>
      <c r="AG24"/>
    </row>
    <row r="25" spans="1:33" x14ac:dyDescent="0.35">
      <c r="A25" s="42"/>
      <c r="B25" s="47"/>
      <c r="C25" s="154"/>
      <c r="D25" s="47"/>
      <c r="E25" s="50"/>
      <c r="F25" s="12" t="s">
        <v>3</v>
      </c>
      <c r="G25" s="17">
        <f>+Inndata!F93</f>
        <v>4.3203371970495265E-2</v>
      </c>
      <c r="H25" s="54">
        <f>+G25*E23</f>
        <v>9894490.9150780141</v>
      </c>
      <c r="I25" s="11" t="s">
        <v>23</v>
      </c>
      <c r="J25" s="17">
        <f>+Inndata!E47</f>
        <v>0.71022727272727271</v>
      </c>
      <c r="K25" s="54">
        <f>+J25*H25</f>
        <v>7027337.2976406347</v>
      </c>
      <c r="L25" s="11"/>
      <c r="M25" s="13"/>
      <c r="N25" s="54"/>
      <c r="O25" s="164" t="s">
        <v>23</v>
      </c>
      <c r="P25" s="13"/>
      <c r="Q25" s="54">
        <f>+K25</f>
        <v>7027337.2976406347</v>
      </c>
      <c r="R25"/>
      <c r="S25"/>
      <c r="T25"/>
      <c r="U25"/>
      <c r="W25"/>
      <c r="X25"/>
      <c r="Y25"/>
      <c r="Z25"/>
      <c r="AA25"/>
      <c r="AB25"/>
      <c r="AC25"/>
      <c r="AD25"/>
      <c r="AE25"/>
      <c r="AF25"/>
      <c r="AG25"/>
    </row>
    <row r="26" spans="1:33" x14ac:dyDescent="0.35">
      <c r="A26" s="42"/>
      <c r="B26" s="47"/>
      <c r="C26" s="154"/>
      <c r="D26" s="47"/>
      <c r="E26" s="50"/>
      <c r="F26" s="12"/>
      <c r="H26" s="54"/>
      <c r="I26" s="11" t="s">
        <v>69</v>
      </c>
      <c r="J26" s="17">
        <f>1-J25</f>
        <v>0.28977272727272729</v>
      </c>
      <c r="K26" s="54">
        <f>+J26*H25</f>
        <v>2867153.6174373794</v>
      </c>
      <c r="L26" s="11" t="s">
        <v>19</v>
      </c>
      <c r="M26" s="17">
        <f>1-M27</f>
        <v>0.57385620915032676</v>
      </c>
      <c r="N26" s="54">
        <f t="shared" ref="N26" si="1">+M26*K26</f>
        <v>1645333.9059542608</v>
      </c>
      <c r="O26" s="164" t="s">
        <v>19</v>
      </c>
      <c r="P26" s="13"/>
      <c r="Q26" s="54">
        <f>+N26</f>
        <v>1645333.9059542608</v>
      </c>
      <c r="R26"/>
      <c r="S26"/>
      <c r="T26"/>
      <c r="U26"/>
      <c r="W26"/>
      <c r="X26"/>
      <c r="Y26"/>
      <c r="Z26"/>
      <c r="AA26"/>
      <c r="AB26"/>
      <c r="AC26"/>
      <c r="AD26"/>
      <c r="AE26"/>
      <c r="AF26"/>
      <c r="AG26"/>
    </row>
    <row r="27" spans="1:33" x14ac:dyDescent="0.35">
      <c r="A27" s="42"/>
      <c r="B27" s="47"/>
      <c r="C27" s="154"/>
      <c r="D27" s="47"/>
      <c r="E27" s="50"/>
      <c r="F27" s="12"/>
      <c r="G27" s="17"/>
      <c r="H27" s="54"/>
      <c r="I27" s="11"/>
      <c r="K27" s="54"/>
      <c r="L27" s="11" t="s">
        <v>7</v>
      </c>
      <c r="M27" s="17">
        <f>+Inndata!$D$35</f>
        <v>0.42614379084967319</v>
      </c>
      <c r="N27" s="54">
        <f>+M27*K26</f>
        <v>1221819.7114831186</v>
      </c>
      <c r="O27" s="164" t="s">
        <v>7</v>
      </c>
      <c r="P27" s="13"/>
      <c r="Q27" s="54">
        <f>+N27</f>
        <v>1221819.7114831186</v>
      </c>
      <c r="R27"/>
      <c r="S27"/>
      <c r="T27"/>
      <c r="U27"/>
      <c r="W27"/>
      <c r="X27"/>
      <c r="Y27"/>
      <c r="Z27"/>
      <c r="AA27"/>
      <c r="AB27"/>
      <c r="AC27"/>
      <c r="AD27"/>
      <c r="AE27"/>
      <c r="AF27"/>
      <c r="AG27"/>
    </row>
    <row r="28" spans="1:33" x14ac:dyDescent="0.35">
      <c r="A28" s="42"/>
      <c r="B28" s="47"/>
      <c r="C28" s="154"/>
      <c r="D28" s="47"/>
      <c r="E28" s="50"/>
      <c r="F28" s="12" t="s">
        <v>291</v>
      </c>
      <c r="G28" s="17">
        <f>+Inndata!F94</f>
        <v>0.5426765015806112</v>
      </c>
      <c r="H28" s="54">
        <f>+G28*E23</f>
        <v>124284459.05524822</v>
      </c>
      <c r="I28" s="11" t="s">
        <v>23</v>
      </c>
      <c r="J28" s="17">
        <f>+Inndata!$E$48</f>
        <v>8.9285714285714288E-2</v>
      </c>
      <c r="K28" s="54">
        <f>+J28*H28</f>
        <v>11096826.701361448</v>
      </c>
      <c r="L28" s="11"/>
      <c r="M28" s="13"/>
      <c r="N28" s="54"/>
      <c r="O28" s="164" t="str">
        <f>+I28</f>
        <v>Studenter</v>
      </c>
      <c r="P28" s="13"/>
      <c r="Q28" s="54">
        <f>+K28</f>
        <v>11096826.701361448</v>
      </c>
      <c r="R28"/>
      <c r="AF28"/>
      <c r="AG28"/>
    </row>
    <row r="29" spans="1:33" x14ac:dyDescent="0.35">
      <c r="A29" s="42"/>
      <c r="B29" s="47"/>
      <c r="C29" s="154"/>
      <c r="D29" s="47"/>
      <c r="E29" s="50"/>
      <c r="F29" s="12"/>
      <c r="G29" s="13"/>
      <c r="H29" s="54"/>
      <c r="I29" s="11" t="s">
        <v>69</v>
      </c>
      <c r="J29" s="17">
        <f>1-J28</f>
        <v>0.9107142857142857</v>
      </c>
      <c r="K29" s="54">
        <f>+J29*H28</f>
        <v>113187632.35388677</v>
      </c>
      <c r="L29" s="11" t="s">
        <v>19</v>
      </c>
      <c r="M29" s="17">
        <f>1-M30</f>
        <v>0.57385620915032676</v>
      </c>
      <c r="N29" s="54">
        <f>+M29*K29</f>
        <v>64953425.625302337</v>
      </c>
      <c r="O29" s="164" t="str">
        <f t="shared" ref="O29:Q30" si="2">+L29</f>
        <v>Undervisning</v>
      </c>
      <c r="P29" s="19"/>
      <c r="Q29" s="54">
        <f t="shared" si="2"/>
        <v>64953425.625302337</v>
      </c>
      <c r="AF29"/>
      <c r="AG29"/>
    </row>
    <row r="30" spans="1:33" ht="15" thickBot="1" x14ac:dyDescent="0.4">
      <c r="A30" s="42"/>
      <c r="B30" s="47"/>
      <c r="C30" s="154"/>
      <c r="D30" s="47"/>
      <c r="E30" s="50"/>
      <c r="F30" s="12"/>
      <c r="G30" s="13"/>
      <c r="H30" s="54"/>
      <c r="I30" s="11"/>
      <c r="J30" s="13"/>
      <c r="K30" s="54"/>
      <c r="L30" s="11" t="s">
        <v>7</v>
      </c>
      <c r="M30" s="17">
        <f>+Inndata!$D$35</f>
        <v>0.42614379084967319</v>
      </c>
      <c r="N30" s="54">
        <f>+M30*K29</f>
        <v>48234206.728584424</v>
      </c>
      <c r="O30" s="164" t="str">
        <f t="shared" si="2"/>
        <v>Forskning</v>
      </c>
      <c r="P30" s="19"/>
      <c r="Q30" s="54">
        <f t="shared" si="2"/>
        <v>48234206.728584424</v>
      </c>
    </row>
    <row r="31" spans="1:33" x14ac:dyDescent="0.35">
      <c r="A31" s="41" t="s">
        <v>86</v>
      </c>
      <c r="B31" s="46">
        <f>+Inndata!E108</f>
        <v>24851955.520000018</v>
      </c>
      <c r="C31" s="153" t="s">
        <v>208</v>
      </c>
      <c r="D31" s="20">
        <f>+Inndata!$E$13</f>
        <v>0.12571428571428572</v>
      </c>
      <c r="E31" s="49">
        <f>+D31*B31</f>
        <v>3124245.8368000025</v>
      </c>
      <c r="F31" s="140"/>
      <c r="G31" s="140"/>
      <c r="H31" s="140"/>
      <c r="I31" s="155"/>
      <c r="J31" s="140"/>
      <c r="K31" s="156"/>
      <c r="L31" s="140"/>
      <c r="M31" s="140"/>
      <c r="N31" s="140"/>
      <c r="O31" s="165" t="s">
        <v>208</v>
      </c>
      <c r="P31" s="140"/>
      <c r="Q31" s="141">
        <f>+E31</f>
        <v>3124245.8368000025</v>
      </c>
      <c r="R31"/>
      <c r="AF31"/>
      <c r="AG31"/>
    </row>
    <row r="32" spans="1:33" x14ac:dyDescent="0.35">
      <c r="A32" s="42"/>
      <c r="B32" s="47"/>
      <c r="C32" s="154" t="s">
        <v>86</v>
      </c>
      <c r="D32" s="17">
        <f>1-D31</f>
        <v>0.87428571428571433</v>
      </c>
      <c r="E32" s="50">
        <f>+D32*B31</f>
        <v>21727709.683200017</v>
      </c>
      <c r="F32" s="12" t="s">
        <v>23</v>
      </c>
      <c r="G32" s="17">
        <f>+Inndata!$E$48</f>
        <v>8.9285714285714288E-2</v>
      </c>
      <c r="H32" s="57">
        <f>+G32*E32</f>
        <v>1939974.0788571443</v>
      </c>
      <c r="I32" s="11"/>
      <c r="J32" s="13"/>
      <c r="K32" s="54"/>
      <c r="L32" s="12"/>
      <c r="M32" s="12"/>
      <c r="N32" s="57"/>
      <c r="O32" s="164" t="s">
        <v>23</v>
      </c>
      <c r="P32" s="13"/>
      <c r="Q32" s="54">
        <f>+H32</f>
        <v>1939974.0788571443</v>
      </c>
      <c r="R32"/>
      <c r="AF32"/>
      <c r="AG32"/>
    </row>
    <row r="33" spans="1:33" x14ac:dyDescent="0.35">
      <c r="A33" s="42"/>
      <c r="B33" s="148"/>
      <c r="C33" s="169"/>
      <c r="D33" s="148"/>
      <c r="E33" s="149"/>
      <c r="F33" s="12" t="s">
        <v>69</v>
      </c>
      <c r="G33" s="17">
        <f>1-G32</f>
        <v>0.9107142857142857</v>
      </c>
      <c r="H33" s="57">
        <f>+G33*E32</f>
        <v>19787735.60434287</v>
      </c>
      <c r="I33" s="11" t="s">
        <v>19</v>
      </c>
      <c r="J33" s="17">
        <f>1-J34</f>
        <v>0.57385620915032676</v>
      </c>
      <c r="K33" s="54">
        <f>+J33*H33</f>
        <v>11355314.94157715</v>
      </c>
      <c r="L33" s="12"/>
      <c r="M33" s="12"/>
      <c r="N33" s="57"/>
      <c r="O33" s="164" t="s">
        <v>19</v>
      </c>
      <c r="P33" s="13"/>
      <c r="Q33" s="54">
        <f>+K33</f>
        <v>11355314.94157715</v>
      </c>
      <c r="R33"/>
      <c r="AF33"/>
      <c r="AG33"/>
    </row>
    <row r="34" spans="1:33" ht="15" thickBot="1" x14ac:dyDescent="0.4">
      <c r="A34" s="43"/>
      <c r="B34" s="52"/>
      <c r="C34" s="161"/>
      <c r="D34" s="52"/>
      <c r="E34" s="139"/>
      <c r="F34" s="15"/>
      <c r="G34" s="16"/>
      <c r="H34" s="58"/>
      <c r="I34" s="14" t="s">
        <v>7</v>
      </c>
      <c r="J34" s="18">
        <f>+Inndata!$D$35</f>
        <v>0.42614379084967319</v>
      </c>
      <c r="K34" s="55">
        <f>+J34*H33</f>
        <v>8432420.662765719</v>
      </c>
      <c r="L34" s="15"/>
      <c r="M34" s="15"/>
      <c r="N34" s="58"/>
      <c r="O34" s="166" t="s">
        <v>7</v>
      </c>
      <c r="P34" s="16"/>
      <c r="Q34" s="55">
        <f>+K34</f>
        <v>8432420.662765719</v>
      </c>
      <c r="R34"/>
      <c r="AF34"/>
      <c r="AG34"/>
    </row>
    <row r="35" spans="1:33" ht="15" thickBot="1" x14ac:dyDescent="0.4">
      <c r="A35" s="43" t="s">
        <v>2</v>
      </c>
      <c r="B35" s="151">
        <f>SUM(B8:B33)</f>
        <v>799468468.23705089</v>
      </c>
      <c r="C35" s="43"/>
      <c r="D35" s="151"/>
      <c r="E35" s="152">
        <f>SUM(E8:E33)</f>
        <v>799468468.23705101</v>
      </c>
      <c r="F35" s="151"/>
      <c r="G35" s="151"/>
      <c r="H35" s="152">
        <f>SUM(H8:H34)</f>
        <v>770875335.70927966</v>
      </c>
      <c r="I35" s="150"/>
      <c r="J35" s="151"/>
      <c r="K35" s="152">
        <f>SUM(K8:K34)</f>
        <v>302190494.04558194</v>
      </c>
      <c r="L35" s="150"/>
      <c r="M35" s="151"/>
      <c r="N35" s="152">
        <f>SUM(N8:N34)</f>
        <v>116054785.97132415</v>
      </c>
      <c r="O35" s="150"/>
      <c r="P35" s="151"/>
      <c r="Q35" s="152">
        <f>SUM(Q8:Q34)</f>
        <v>799468468.23705113</v>
      </c>
    </row>
    <row r="36" spans="1:33" ht="15" thickBot="1" x14ac:dyDescent="0.4">
      <c r="O36" s="1"/>
      <c r="Q36"/>
      <c r="S36"/>
      <c r="T36"/>
      <c r="U36"/>
      <c r="V36"/>
      <c r="X36"/>
      <c r="Y36"/>
      <c r="Z36"/>
      <c r="AA36"/>
      <c r="AB36"/>
      <c r="AC36"/>
      <c r="AD36"/>
      <c r="AE36"/>
    </row>
    <row r="37" spans="1:33" x14ac:dyDescent="0.35">
      <c r="O37" s="178" t="s">
        <v>18</v>
      </c>
      <c r="P37" s="183">
        <f>+Q37/$Q$42</f>
        <v>0.22553579724252831</v>
      </c>
      <c r="Q37" s="180">
        <f>+Q19+Q22+Q23</f>
        <v>180308758.35410622</v>
      </c>
      <c r="S37"/>
      <c r="T37"/>
      <c r="U37"/>
      <c r="V37"/>
      <c r="X37"/>
      <c r="Y37"/>
      <c r="Z37"/>
      <c r="AA37"/>
      <c r="AB37"/>
      <c r="AC37"/>
      <c r="AD37"/>
      <c r="AE37"/>
    </row>
    <row r="38" spans="1:33" x14ac:dyDescent="0.35">
      <c r="O38" s="179" t="s">
        <v>7</v>
      </c>
      <c r="P38" s="184">
        <f t="shared" ref="P38:P42" si="3">+Q38/$Q$42</f>
        <v>0.16822192843545422</v>
      </c>
      <c r="Q38" s="181">
        <f>+Q10+Q14+Q16+Q27+Q34+Q30</f>
        <v>134488127.4501754</v>
      </c>
      <c r="S38"/>
      <c r="T38"/>
      <c r="U38"/>
      <c r="V38"/>
      <c r="X38"/>
      <c r="Y38"/>
      <c r="Z38"/>
      <c r="AA38"/>
      <c r="AB38"/>
      <c r="AC38"/>
      <c r="AD38"/>
      <c r="AE38"/>
    </row>
    <row r="39" spans="1:33" x14ac:dyDescent="0.35">
      <c r="O39" s="179" t="s">
        <v>19</v>
      </c>
      <c r="P39" s="184">
        <f t="shared" si="3"/>
        <v>0.20390200962802785</v>
      </c>
      <c r="Q39" s="181">
        <f>+Q13+Q9+Q26+Q29+Q33</f>
        <v>163013227.30777586</v>
      </c>
      <c r="S39"/>
      <c r="T39"/>
      <c r="U39"/>
      <c r="V39"/>
      <c r="X39"/>
      <c r="Y39"/>
      <c r="Z39"/>
      <c r="AA39"/>
      <c r="AB39"/>
      <c r="AC39"/>
      <c r="AD39"/>
      <c r="AE39"/>
    </row>
    <row r="40" spans="1:33" x14ac:dyDescent="0.35">
      <c r="O40" s="179" t="s">
        <v>23</v>
      </c>
      <c r="P40" s="184">
        <f t="shared" si="3"/>
        <v>0.36657508612375322</v>
      </c>
      <c r="Q40" s="181">
        <f>+Q8+Q12+Q17+Q20+Q24+Q25+Q28+Q32</f>
        <v>293065222.59722203</v>
      </c>
      <c r="S40"/>
      <c r="T40"/>
      <c r="U40"/>
      <c r="V40"/>
      <c r="X40"/>
      <c r="Y40"/>
      <c r="Z40"/>
      <c r="AA40"/>
      <c r="AB40"/>
      <c r="AC40"/>
      <c r="AD40"/>
      <c r="AE40"/>
    </row>
    <row r="41" spans="1:33" ht="15" thickBot="1" x14ac:dyDescent="0.4">
      <c r="O41" s="179" t="s">
        <v>208</v>
      </c>
      <c r="P41" s="184">
        <f t="shared" si="3"/>
        <v>3.5765178570236332E-2</v>
      </c>
      <c r="Q41" s="181">
        <f>+Q11+Q15+Q18+Q21+Q31</f>
        <v>28593132.527771443</v>
      </c>
      <c r="S41"/>
      <c r="T41"/>
      <c r="U41"/>
      <c r="V41"/>
      <c r="X41"/>
      <c r="Y41"/>
      <c r="Z41"/>
      <c r="AA41"/>
      <c r="AB41"/>
      <c r="AC41"/>
      <c r="AD41"/>
      <c r="AE41"/>
    </row>
    <row r="42" spans="1:33" ht="15" thickBot="1" x14ac:dyDescent="0.4">
      <c r="O42" s="176" t="s">
        <v>2</v>
      </c>
      <c r="P42" s="185">
        <f t="shared" si="3"/>
        <v>1</v>
      </c>
      <c r="Q42" s="182">
        <f>SUM(Q37:Q41)</f>
        <v>799468468.23705101</v>
      </c>
      <c r="S42"/>
      <c r="T42"/>
      <c r="U42"/>
      <c r="V42"/>
      <c r="X42"/>
      <c r="Y42"/>
      <c r="Z42"/>
      <c r="AA42"/>
      <c r="AB42"/>
      <c r="AC42"/>
      <c r="AD42"/>
      <c r="AE42"/>
    </row>
    <row r="43" spans="1:33" x14ac:dyDescent="0.35">
      <c r="O43" s="186"/>
      <c r="P43" s="187"/>
      <c r="Q43" s="188"/>
      <c r="S43"/>
      <c r="T43"/>
      <c r="U43"/>
      <c r="V43"/>
      <c r="X43"/>
      <c r="Y43"/>
      <c r="Z43"/>
      <c r="AA43"/>
      <c r="AB43"/>
      <c r="AC43"/>
      <c r="AD43"/>
      <c r="AE43"/>
    </row>
    <row r="44" spans="1:33" x14ac:dyDescent="0.35">
      <c r="O44" s="186"/>
      <c r="P44" s="187"/>
      <c r="Q44" s="188"/>
      <c r="S44"/>
      <c r="T44"/>
      <c r="U44"/>
      <c r="V44"/>
      <c r="X44"/>
      <c r="Y44"/>
      <c r="Z44"/>
      <c r="AA44"/>
      <c r="AB44"/>
      <c r="AC44"/>
      <c r="AD44"/>
      <c r="AE44"/>
    </row>
    <row r="45" spans="1:33" x14ac:dyDescent="0.35">
      <c r="O45" s="186"/>
      <c r="P45" s="187"/>
      <c r="Q45" s="188"/>
      <c r="S45"/>
      <c r="T45"/>
      <c r="U45"/>
      <c r="V45"/>
      <c r="X45"/>
      <c r="Y45"/>
      <c r="Z45"/>
      <c r="AA45"/>
      <c r="AB45"/>
      <c r="AC45"/>
      <c r="AD45"/>
      <c r="AE45"/>
    </row>
    <row r="46" spans="1:33" x14ac:dyDescent="0.35">
      <c r="O46" s="186"/>
      <c r="P46" s="187"/>
      <c r="Q46" s="188"/>
      <c r="S46"/>
      <c r="T46"/>
      <c r="U46"/>
      <c r="V46"/>
      <c r="X46"/>
      <c r="Y46"/>
      <c r="Z46"/>
      <c r="AA46"/>
      <c r="AB46"/>
      <c r="AC46"/>
      <c r="AD46"/>
      <c r="AE46"/>
    </row>
    <row r="47" spans="1:33" x14ac:dyDescent="0.35">
      <c r="O47" s="186"/>
      <c r="P47" s="187"/>
      <c r="Q47" s="188"/>
      <c r="S47"/>
      <c r="T47"/>
      <c r="U47"/>
      <c r="V47"/>
      <c r="X47"/>
      <c r="Y47"/>
      <c r="Z47"/>
      <c r="AA47"/>
      <c r="AB47"/>
      <c r="AC47"/>
      <c r="AD47"/>
      <c r="AE47"/>
    </row>
    <row r="48" spans="1:33" x14ac:dyDescent="0.35">
      <c r="O48" s="186"/>
      <c r="P48" s="187"/>
      <c r="Q48" s="188"/>
      <c r="S48"/>
      <c r="T48"/>
      <c r="U48"/>
      <c r="V48"/>
      <c r="X48"/>
      <c r="Y48"/>
      <c r="Z48"/>
      <c r="AA48"/>
      <c r="AB48"/>
      <c r="AC48"/>
      <c r="AD48"/>
      <c r="AE48"/>
    </row>
    <row r="49" spans="1:31" x14ac:dyDescent="0.35">
      <c r="O49" s="186"/>
      <c r="P49" s="187"/>
      <c r="Q49" s="188"/>
      <c r="S49"/>
      <c r="T49"/>
      <c r="U49"/>
      <c r="V49"/>
      <c r="X49"/>
      <c r="Y49"/>
      <c r="Z49"/>
      <c r="AA49"/>
      <c r="AB49"/>
      <c r="AC49"/>
      <c r="AD49"/>
      <c r="AE49"/>
    </row>
    <row r="50" spans="1:31" x14ac:dyDescent="0.35">
      <c r="O50" s="186"/>
      <c r="P50" s="187"/>
      <c r="Q50" s="188"/>
      <c r="S50"/>
      <c r="T50"/>
      <c r="U50"/>
      <c r="V50"/>
      <c r="X50"/>
      <c r="Y50"/>
      <c r="Z50"/>
      <c r="AA50"/>
      <c r="AB50"/>
      <c r="AC50"/>
      <c r="AD50"/>
      <c r="AE50"/>
    </row>
    <row r="51" spans="1:31" x14ac:dyDescent="0.35">
      <c r="O51" s="186"/>
      <c r="P51" s="187"/>
      <c r="Q51" s="188"/>
      <c r="S51"/>
      <c r="T51"/>
      <c r="U51"/>
      <c r="V51"/>
      <c r="X51"/>
      <c r="Y51"/>
      <c r="Z51"/>
      <c r="AA51"/>
      <c r="AB51"/>
      <c r="AC51"/>
      <c r="AD51"/>
      <c r="AE51"/>
    </row>
    <row r="52" spans="1:31" x14ac:dyDescent="0.35">
      <c r="O52" s="1"/>
      <c r="Q52"/>
      <c r="S52"/>
      <c r="T52"/>
      <c r="U52"/>
      <c r="V52"/>
      <c r="X52"/>
      <c r="Y52"/>
      <c r="Z52"/>
      <c r="AA52"/>
      <c r="AB52"/>
      <c r="AC52"/>
      <c r="AD52"/>
      <c r="AE52"/>
    </row>
    <row r="53" spans="1:31" x14ac:dyDescent="0.35">
      <c r="A53" t="s">
        <v>336</v>
      </c>
      <c r="O53" s="1"/>
      <c r="Q53"/>
      <c r="S53"/>
      <c r="T53"/>
      <c r="U53"/>
      <c r="V53"/>
      <c r="X53"/>
      <c r="Y53"/>
      <c r="Z53"/>
      <c r="AA53"/>
      <c r="AB53"/>
      <c r="AC53"/>
      <c r="AD53"/>
      <c r="AE53"/>
    </row>
    <row r="54" spans="1:31" x14ac:dyDescent="0.35">
      <c r="A54" t="s">
        <v>337</v>
      </c>
      <c r="B54">
        <f>+Oppsummering!B5</f>
        <v>2022</v>
      </c>
      <c r="O54" s="1"/>
      <c r="Q54"/>
      <c r="S54"/>
      <c r="T54"/>
      <c r="U54"/>
      <c r="V54"/>
      <c r="X54"/>
      <c r="Y54"/>
      <c r="Z54"/>
      <c r="AA54"/>
      <c r="AB54"/>
      <c r="AC54"/>
      <c r="AD54"/>
      <c r="AE54"/>
    </row>
    <row r="55" spans="1:31" x14ac:dyDescent="0.35">
      <c r="A55" t="s">
        <v>338</v>
      </c>
      <c r="B55" s="197">
        <f>+Oppsummering!B6</f>
        <v>0</v>
      </c>
      <c r="O55" s="1"/>
      <c r="Q55"/>
      <c r="S55"/>
      <c r="T55"/>
      <c r="U55"/>
      <c r="V55"/>
      <c r="X55"/>
      <c r="Y55"/>
      <c r="Z55"/>
      <c r="AA55"/>
      <c r="AB55"/>
      <c r="AC55"/>
      <c r="AD55"/>
      <c r="AE55"/>
    </row>
    <row r="56" spans="1:31" x14ac:dyDescent="0.35">
      <c r="O56" s="1"/>
      <c r="Q56"/>
      <c r="S56"/>
      <c r="T56"/>
      <c r="U56"/>
      <c r="V56"/>
      <c r="X56"/>
      <c r="Y56"/>
      <c r="Z56"/>
      <c r="AA56"/>
      <c r="AB56"/>
      <c r="AC56"/>
      <c r="AD56"/>
      <c r="AE56"/>
    </row>
    <row r="57" spans="1:31" x14ac:dyDescent="0.35">
      <c r="A57" t="s">
        <v>318</v>
      </c>
      <c r="O57" s="163"/>
    </row>
    <row r="58" spans="1:31" x14ac:dyDescent="0.35">
      <c r="A58" s="177"/>
      <c r="B58" s="177" t="s">
        <v>322</v>
      </c>
      <c r="C58" s="177" t="s">
        <v>323</v>
      </c>
      <c r="D58" s="177" t="s">
        <v>324</v>
      </c>
      <c r="E58" s="177" t="s">
        <v>218</v>
      </c>
      <c r="F58" s="177" t="s">
        <v>3</v>
      </c>
      <c r="G58" s="177" t="s">
        <v>24</v>
      </c>
      <c r="H58" s="177" t="s">
        <v>11</v>
      </c>
      <c r="I58" s="177" t="s">
        <v>66</v>
      </c>
      <c r="J58" s="177" t="s">
        <v>73</v>
      </c>
      <c r="K58" s="177" t="s">
        <v>0</v>
      </c>
      <c r="L58" s="177" t="s">
        <v>86</v>
      </c>
      <c r="M58" s="177" t="s">
        <v>2</v>
      </c>
    </row>
    <row r="59" spans="1:31" x14ac:dyDescent="0.35">
      <c r="A59" s="177" t="s">
        <v>18</v>
      </c>
      <c r="B59" s="59">
        <f>+Q19*(1+$B$55)</f>
        <v>55844421.117942885</v>
      </c>
      <c r="C59" s="59">
        <f>+Q22*(1+$B$55)</f>
        <v>42412461.355028592</v>
      </c>
      <c r="D59" s="59">
        <f>+Q23*(1+$B$55)</f>
        <v>82051875.881134748</v>
      </c>
      <c r="E59" s="59"/>
      <c r="F59" s="59"/>
      <c r="G59" s="59"/>
      <c r="H59" s="59"/>
      <c r="I59" s="23"/>
      <c r="J59" s="23"/>
      <c r="K59" s="23"/>
      <c r="L59" s="59"/>
      <c r="M59" s="59">
        <f>SUM(B59:L59)</f>
        <v>180308758.35410622</v>
      </c>
    </row>
    <row r="60" spans="1:31" x14ac:dyDescent="0.35">
      <c r="A60" s="177" t="s">
        <v>7</v>
      </c>
      <c r="B60" s="62">
        <f>+B59</f>
        <v>55844421.117942885</v>
      </c>
      <c r="C60" s="62">
        <f t="shared" ref="C60:D61" si="4">+C59</f>
        <v>42412461.355028592</v>
      </c>
      <c r="D60" s="62">
        <f t="shared" si="4"/>
        <v>82051875.881134748</v>
      </c>
      <c r="E60" s="59">
        <f>+Q10*(1+$B$55)</f>
        <v>58532688.04097718</v>
      </c>
      <c r="F60" s="59">
        <f>+Q14*(1+$B$55)</f>
        <v>4631967.5949935084</v>
      </c>
      <c r="G60" s="59">
        <f>+Q16*(1+$B$55)</f>
        <v>13435024.711371427</v>
      </c>
      <c r="H60" s="59"/>
      <c r="I60" s="59"/>
      <c r="J60" s="59"/>
      <c r="K60" s="59">
        <f>(+Q27+Q30)*(1+$B$55)</f>
        <v>49456026.440067545</v>
      </c>
      <c r="L60" s="59">
        <f>+Q34*(1+$B$55)</f>
        <v>8432420.662765719</v>
      </c>
      <c r="M60" s="59">
        <f t="shared" ref="M60:M63" si="5">SUM(B60:L60)</f>
        <v>314796885.80428159</v>
      </c>
    </row>
    <row r="61" spans="1:31" x14ac:dyDescent="0.35">
      <c r="A61" s="177" t="s">
        <v>19</v>
      </c>
      <c r="B61" s="62">
        <f>+B60</f>
        <v>55844421.117942885</v>
      </c>
      <c r="C61" s="62">
        <f t="shared" si="4"/>
        <v>42412461.355028592</v>
      </c>
      <c r="D61" s="62">
        <f t="shared" si="4"/>
        <v>82051875.881134748</v>
      </c>
      <c r="E61" s="59">
        <f>+Q9*(1+$B$55)</f>
        <v>78821625.920211598</v>
      </c>
      <c r="F61" s="59">
        <f>+Q13*(1+$B$55)</f>
        <v>6237526.9147305219</v>
      </c>
      <c r="G61" s="59"/>
      <c r="H61" s="59"/>
      <c r="I61" s="59"/>
      <c r="J61" s="59"/>
      <c r="K61" s="59">
        <f>(+Q26+Q29)*(1+$B$55)</f>
        <v>66598759.531256601</v>
      </c>
      <c r="L61" s="59">
        <f>+Q33*(1+$B$55)</f>
        <v>11355314.94157715</v>
      </c>
      <c r="M61" s="59">
        <f t="shared" si="5"/>
        <v>343321985.66188204</v>
      </c>
    </row>
    <row r="62" spans="1:31" x14ac:dyDescent="0.35">
      <c r="A62" s="177" t="s">
        <v>23</v>
      </c>
      <c r="B62" s="23"/>
      <c r="C62" s="23"/>
      <c r="D62" s="23"/>
      <c r="E62" s="59">
        <f>+Q8*(1+$B$55)</f>
        <v>134661092.11881256</v>
      </c>
      <c r="F62" s="59">
        <f>+Q12*(1+$B$55)</f>
        <v>26640917.915990267</v>
      </c>
      <c r="G62" s="59"/>
      <c r="H62" s="59">
        <f>+Q17*(1+$B$55)</f>
        <v>70986424.449999928</v>
      </c>
      <c r="I62" s="59">
        <f>+Q20*(1+$B$55)</f>
        <v>27922210.558971439</v>
      </c>
      <c r="J62" s="59"/>
      <c r="K62" s="59">
        <f>(+Q24+Q25+Q28)*(1+$B$55)</f>
        <v>30914603.474590734</v>
      </c>
      <c r="L62" s="59">
        <f>+Q32*(1+$B$55)</f>
        <v>1939974.0788571443</v>
      </c>
      <c r="M62" s="59">
        <f t="shared" si="5"/>
        <v>293065222.59722203</v>
      </c>
    </row>
    <row r="63" spans="1:31" x14ac:dyDescent="0.35">
      <c r="A63" s="177" t="s">
        <v>208</v>
      </c>
      <c r="B63" s="23"/>
      <c r="C63" s="23"/>
      <c r="D63" s="23"/>
      <c r="E63" s="59"/>
      <c r="F63" s="59">
        <f>+Q11*(1+$B$55)</f>
        <v>5393654.0742857167</v>
      </c>
      <c r="G63" s="59">
        <f>+Q15*(1+$B$55)</f>
        <v>1931833.6186285713</v>
      </c>
      <c r="H63" s="59"/>
      <c r="I63" s="59">
        <f>+Q18*(1+$B$55)</f>
        <v>12044875.14308572</v>
      </c>
      <c r="J63" s="59">
        <f>+Q21*(1+$B$55)</f>
        <v>6098523.8549714321</v>
      </c>
      <c r="K63" s="59"/>
      <c r="L63" s="59">
        <f>+Q31*(1+$B$55)</f>
        <v>3124245.8368000025</v>
      </c>
      <c r="M63" s="59">
        <f t="shared" si="5"/>
        <v>28593132.527771443</v>
      </c>
    </row>
    <row r="64" spans="1:31" ht="15.5" x14ac:dyDescent="0.35">
      <c r="F64" s="2"/>
      <c r="M64" s="175">
        <f>+M63+M62+M61+M60+M59-M59-M59</f>
        <v>799468468.23705101</v>
      </c>
      <c r="O64" s="1"/>
      <c r="P64" s="1"/>
    </row>
    <row r="65" spans="1:18" x14ac:dyDescent="0.35">
      <c r="A65" t="s">
        <v>318</v>
      </c>
      <c r="Q65"/>
      <c r="R65"/>
    </row>
    <row r="66" spans="1:18" x14ac:dyDescent="0.35">
      <c r="A66" s="177"/>
      <c r="B66" s="177" t="s">
        <v>322</v>
      </c>
      <c r="C66" s="177" t="s">
        <v>323</v>
      </c>
      <c r="D66" s="177" t="s">
        <v>324</v>
      </c>
      <c r="E66" s="177" t="s">
        <v>218</v>
      </c>
      <c r="F66" s="177" t="s">
        <v>3</v>
      </c>
      <c r="G66" s="177" t="s">
        <v>24</v>
      </c>
      <c r="H66" s="177" t="s">
        <v>11</v>
      </c>
      <c r="I66" s="177" t="s">
        <v>66</v>
      </c>
      <c r="J66" s="177" t="s">
        <v>73</v>
      </c>
      <c r="K66" s="177" t="s">
        <v>0</v>
      </c>
      <c r="L66" s="177" t="s">
        <v>86</v>
      </c>
      <c r="M66" s="177" t="s">
        <v>321</v>
      </c>
      <c r="N66" s="23" t="s">
        <v>319</v>
      </c>
    </row>
    <row r="67" spans="1:18" x14ac:dyDescent="0.35">
      <c r="A67" s="177" t="s">
        <v>18</v>
      </c>
      <c r="B67" s="59">
        <f>+B59/$N67</f>
        <v>68943.729775238127</v>
      </c>
      <c r="C67" s="59">
        <f>+C59/$N67</f>
        <v>52361.063401269865</v>
      </c>
      <c r="D67" s="59">
        <f>+D59/$N67</f>
        <v>101298.61219893179</v>
      </c>
      <c r="E67" s="59"/>
      <c r="F67" s="59"/>
      <c r="G67" s="59"/>
      <c r="H67" s="59"/>
      <c r="I67" s="23"/>
      <c r="J67" s="23"/>
      <c r="K67" s="23"/>
      <c r="L67" s="59"/>
      <c r="M67" s="59">
        <f>SUM(B67:L67)</f>
        <v>222603.40537543979</v>
      </c>
      <c r="N67" s="78">
        <f>+Satser!B8</f>
        <v>810</v>
      </c>
    </row>
    <row r="68" spans="1:18" x14ac:dyDescent="0.35">
      <c r="A68" s="177" t="s">
        <v>7</v>
      </c>
      <c r="B68" s="62">
        <f t="shared" ref="B68:D69" si="6">+B67</f>
        <v>68943.729775238127</v>
      </c>
      <c r="C68" s="62">
        <f t="shared" si="6"/>
        <v>52361.063401269865</v>
      </c>
      <c r="D68" s="62">
        <f t="shared" si="6"/>
        <v>101298.61219893179</v>
      </c>
      <c r="E68" s="59">
        <f>+E60/$N68</f>
        <v>179548.12282508338</v>
      </c>
      <c r="F68" s="59">
        <f>+F60/$N68</f>
        <v>14208.48955519481</v>
      </c>
      <c r="G68" s="59">
        <f>+G60/$N68</f>
        <v>41211.732243470637</v>
      </c>
      <c r="H68" s="59"/>
      <c r="I68" s="59"/>
      <c r="J68" s="59"/>
      <c r="K68" s="59">
        <f t="shared" ref="K68:L70" si="7">+K60/$N68</f>
        <v>151705.60257689431</v>
      </c>
      <c r="L68" s="59">
        <f t="shared" si="7"/>
        <v>25866.321051428586</v>
      </c>
      <c r="M68" s="59">
        <f t="shared" ref="M68:M70" si="8">SUM(B68:L68)</f>
        <v>635143.67362751148</v>
      </c>
      <c r="N68" s="78">
        <f>+Satser!B15</f>
        <v>326</v>
      </c>
    </row>
    <row r="69" spans="1:18" x14ac:dyDescent="0.35">
      <c r="A69" s="177" t="s">
        <v>19</v>
      </c>
      <c r="B69" s="62">
        <f t="shared" si="6"/>
        <v>68943.729775238127</v>
      </c>
      <c r="C69" s="62">
        <f t="shared" si="6"/>
        <v>52361.063401269865</v>
      </c>
      <c r="D69" s="62">
        <f t="shared" si="6"/>
        <v>101298.61219893179</v>
      </c>
      <c r="E69" s="59">
        <f>+E61/$N69</f>
        <v>179548.12282508338</v>
      </c>
      <c r="F69" s="59">
        <f>+F61/$N69</f>
        <v>14208.48955519481</v>
      </c>
      <c r="G69" s="59"/>
      <c r="H69" s="59"/>
      <c r="I69" s="59"/>
      <c r="J69" s="59"/>
      <c r="K69" s="59">
        <f t="shared" si="7"/>
        <v>151705.60257689431</v>
      </c>
      <c r="L69" s="59">
        <f t="shared" si="7"/>
        <v>25866.321051428586</v>
      </c>
      <c r="M69" s="59">
        <f t="shared" si="8"/>
        <v>593931.94138404087</v>
      </c>
      <c r="N69" s="78">
        <f>+Satser!B23</f>
        <v>439</v>
      </c>
    </row>
    <row r="70" spans="1:18" x14ac:dyDescent="0.35">
      <c r="A70" s="177" t="s">
        <v>23</v>
      </c>
      <c r="B70" s="23">
        <f>+B62/$N70</f>
        <v>0</v>
      </c>
      <c r="C70" s="23">
        <f>+C62/$N70</f>
        <v>0</v>
      </c>
      <c r="D70" s="23">
        <f>+D62/$N70</f>
        <v>0</v>
      </c>
      <c r="E70" s="59">
        <f>+E62/$N70</f>
        <v>17954.812282508341</v>
      </c>
      <c r="F70" s="59">
        <f>+F62/$N70</f>
        <v>3552.1223887987021</v>
      </c>
      <c r="G70" s="59"/>
      <c r="H70" s="59">
        <f>+H62/$N70</f>
        <v>9464.856593333323</v>
      </c>
      <c r="I70" s="59">
        <f>+I62/$N70</f>
        <v>3722.9614078628583</v>
      </c>
      <c r="J70" s="59"/>
      <c r="K70" s="59">
        <f t="shared" si="7"/>
        <v>4121.9471299454308</v>
      </c>
      <c r="L70" s="59">
        <f t="shared" si="7"/>
        <v>258.66321051428594</v>
      </c>
      <c r="M70" s="59">
        <f t="shared" si="8"/>
        <v>39075.363012962938</v>
      </c>
      <c r="N70" s="78">
        <f>+Satser!B30</f>
        <v>7500</v>
      </c>
    </row>
    <row r="71" spans="1:18" x14ac:dyDescent="0.35">
      <c r="M71" s="6"/>
    </row>
    <row r="72" spans="1:18" x14ac:dyDescent="0.35">
      <c r="A72" t="s">
        <v>318</v>
      </c>
    </row>
    <row r="73" spans="1:18" x14ac:dyDescent="0.35">
      <c r="A73" s="177"/>
      <c r="B73" s="177" t="s">
        <v>322</v>
      </c>
      <c r="C73" s="177" t="s">
        <v>323</v>
      </c>
      <c r="D73" s="177" t="s">
        <v>324</v>
      </c>
      <c r="E73" s="177" t="s">
        <v>218</v>
      </c>
      <c r="F73" s="177" t="s">
        <v>3</v>
      </c>
      <c r="G73" s="177" t="s">
        <v>24</v>
      </c>
      <c r="H73" s="177" t="s">
        <v>11</v>
      </c>
      <c r="I73" s="177" t="s">
        <v>66</v>
      </c>
      <c r="J73" s="177" t="s">
        <v>73</v>
      </c>
      <c r="K73" s="177" t="s">
        <v>0</v>
      </c>
      <c r="L73" s="177" t="s">
        <v>86</v>
      </c>
      <c r="M73" s="189" t="s">
        <v>321</v>
      </c>
      <c r="N73" s="191" t="s">
        <v>320</v>
      </c>
    </row>
    <row r="74" spans="1:18" x14ac:dyDescent="0.35">
      <c r="A74" s="177" t="s">
        <v>18</v>
      </c>
      <c r="B74" s="59">
        <f>+B67/$N74</f>
        <v>42.348728363168384</v>
      </c>
      <c r="C74" s="59">
        <f t="shared" ref="C74:D74" si="9">+C67/$N74</f>
        <v>32.162815357045375</v>
      </c>
      <c r="D74" s="59">
        <f t="shared" si="9"/>
        <v>62.222734765928621</v>
      </c>
      <c r="E74" s="59"/>
      <c r="F74" s="59"/>
      <c r="G74" s="59"/>
      <c r="H74" s="59"/>
      <c r="I74" s="23"/>
      <c r="J74" s="23"/>
      <c r="K74" s="23"/>
      <c r="L74" s="59"/>
      <c r="M74" s="190">
        <f>SUM(B74:L74)</f>
        <v>136.73427848614239</v>
      </c>
      <c r="N74" s="78">
        <f>+Inndata!D40</f>
        <v>1628</v>
      </c>
    </row>
    <row r="75" spans="1:18" x14ac:dyDescent="0.35">
      <c r="A75" s="177" t="s">
        <v>7</v>
      </c>
      <c r="B75" s="62">
        <f t="shared" ref="B75:L75" si="10">+B68/$N75</f>
        <v>42.348728363168384</v>
      </c>
      <c r="C75" s="62">
        <f t="shared" si="10"/>
        <v>32.162815357045375</v>
      </c>
      <c r="D75" s="62">
        <f t="shared" si="10"/>
        <v>62.222734765928621</v>
      </c>
      <c r="E75" s="59">
        <f t="shared" si="10"/>
        <v>110.2875447328522</v>
      </c>
      <c r="F75" s="59">
        <f t="shared" si="10"/>
        <v>8.7275734368518485</v>
      </c>
      <c r="G75" s="59">
        <f t="shared" si="10"/>
        <v>25.314331844883682</v>
      </c>
      <c r="H75" s="59"/>
      <c r="I75" s="59"/>
      <c r="J75" s="59"/>
      <c r="K75" s="59">
        <f t="shared" si="10"/>
        <v>93.185259568116891</v>
      </c>
      <c r="L75" s="59">
        <f t="shared" si="10"/>
        <v>15.888403594243602</v>
      </c>
      <c r="M75" s="190">
        <f t="shared" ref="M75:M77" si="11">SUM(B75:L75)</f>
        <v>390.13739166309057</v>
      </c>
      <c r="N75" s="78">
        <f>+N74</f>
        <v>1628</v>
      </c>
    </row>
    <row r="76" spans="1:18" x14ac:dyDescent="0.35">
      <c r="A76" s="177" t="s">
        <v>19</v>
      </c>
      <c r="B76" s="62">
        <f t="shared" ref="B76:L76" si="12">+B69/$N76</f>
        <v>42.348728363168384</v>
      </c>
      <c r="C76" s="62">
        <f t="shared" si="12"/>
        <v>32.162815357045375</v>
      </c>
      <c r="D76" s="62">
        <f t="shared" si="12"/>
        <v>62.222734765928621</v>
      </c>
      <c r="E76" s="59">
        <f t="shared" si="12"/>
        <v>110.2875447328522</v>
      </c>
      <c r="F76" s="59">
        <f t="shared" si="12"/>
        <v>8.7275734368518485</v>
      </c>
      <c r="G76" s="59"/>
      <c r="H76" s="59"/>
      <c r="I76" s="59"/>
      <c r="J76" s="59"/>
      <c r="K76" s="59">
        <f t="shared" si="12"/>
        <v>93.185259568116891</v>
      </c>
      <c r="L76" s="59">
        <f t="shared" si="12"/>
        <v>15.888403594243602</v>
      </c>
      <c r="M76" s="190">
        <f t="shared" si="11"/>
        <v>364.8230598182069</v>
      </c>
      <c r="N76" s="78">
        <f>+N75</f>
        <v>1628</v>
      </c>
    </row>
    <row r="77" spans="1:18" x14ac:dyDescent="0.35">
      <c r="A77" s="177" t="s">
        <v>23</v>
      </c>
      <c r="B77" s="23">
        <f t="shared" ref="B77:L77" si="13">+B70/$N77</f>
        <v>0</v>
      </c>
      <c r="C77" s="23">
        <f t="shared" si="13"/>
        <v>0</v>
      </c>
      <c r="D77" s="23">
        <f t="shared" si="13"/>
        <v>0</v>
      </c>
      <c r="E77" s="59">
        <f t="shared" si="13"/>
        <v>299.24687137513899</v>
      </c>
      <c r="F77" s="59">
        <f t="shared" si="13"/>
        <v>59.2020398133117</v>
      </c>
      <c r="G77" s="59"/>
      <c r="H77" s="59">
        <f t="shared" si="13"/>
        <v>157.74760988888872</v>
      </c>
      <c r="I77" s="59">
        <f t="shared" si="13"/>
        <v>62.049356797714303</v>
      </c>
      <c r="J77" s="59"/>
      <c r="K77" s="59">
        <f t="shared" si="13"/>
        <v>68.699118832423849</v>
      </c>
      <c r="L77" s="59">
        <f t="shared" si="13"/>
        <v>4.3110535085714323</v>
      </c>
      <c r="M77" s="190">
        <f t="shared" si="11"/>
        <v>651.25605021604895</v>
      </c>
      <c r="N77" s="78">
        <v>60</v>
      </c>
    </row>
    <row r="79" spans="1:18" x14ac:dyDescent="0.35">
      <c r="G79" s="1"/>
    </row>
    <row r="80" spans="1:18" x14ac:dyDescent="0.35">
      <c r="G80" s="1"/>
      <c r="L80" s="6"/>
    </row>
    <row r="81" spans="7:15" x14ac:dyDescent="0.35">
      <c r="G81" s="1"/>
      <c r="M81" s="6"/>
    </row>
    <row r="82" spans="7:15" x14ac:dyDescent="0.35">
      <c r="G82" s="1"/>
      <c r="O82" s="6"/>
    </row>
    <row r="84" spans="7:15" x14ac:dyDescent="0.35">
      <c r="G84" s="1"/>
      <c r="L84" s="6"/>
      <c r="O84" s="6"/>
    </row>
    <row r="88" spans="7:15" x14ac:dyDescent="0.35">
      <c r="G88" s="1"/>
      <c r="I88" s="6"/>
      <c r="L88" s="6"/>
    </row>
    <row r="89" spans="7:15" x14ac:dyDescent="0.35">
      <c r="I89" s="6"/>
      <c r="K89" s="6"/>
    </row>
    <row r="92" spans="7:15" x14ac:dyDescent="0.35">
      <c r="G92" s="1"/>
    </row>
    <row r="93" spans="7:15" x14ac:dyDescent="0.35">
      <c r="G93" s="1"/>
    </row>
    <row r="96" spans="7:15" x14ac:dyDescent="0.35">
      <c r="G96" s="1"/>
    </row>
    <row r="98" spans="7:7" x14ac:dyDescent="0.35">
      <c r="G98" s="1"/>
    </row>
  </sheetData>
  <pageMargins left="0.7" right="0.7" top="0.75" bottom="0.75" header="0.3" footer="0.3"/>
  <pageSetup scale="2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730EC-7F7A-438C-A23A-09171C19ABA4}">
  <sheetPr>
    <tabColor rgb="FFFFC000"/>
    <pageSetUpPr fitToPage="1"/>
  </sheetPr>
  <dimension ref="A1:D39"/>
  <sheetViews>
    <sheetView showGridLines="0" zoomScale="98" zoomScaleNormal="98" workbookViewId="0">
      <selection activeCell="A3" sqref="A3"/>
    </sheetView>
  </sheetViews>
  <sheetFormatPr baseColWidth="10" defaultRowHeight="14.5" x14ac:dyDescent="0.35"/>
  <cols>
    <col min="1" max="1" width="55.54296875" customWidth="1"/>
    <col min="2" max="3" width="14.7265625" customWidth="1"/>
    <col min="4" max="4" width="13.7265625" bestFit="1" customWidth="1"/>
    <col min="11" max="11" width="13.453125" bestFit="1" customWidth="1"/>
  </cols>
  <sheetData>
    <row r="1" spans="1:4" ht="26" x14ac:dyDescent="0.6">
      <c r="A1" s="29" t="s">
        <v>129</v>
      </c>
    </row>
    <row r="2" spans="1:4" ht="17.25" customHeight="1" x14ac:dyDescent="0.6">
      <c r="A2" s="29"/>
    </row>
    <row r="3" spans="1:4" ht="17.25" customHeight="1" x14ac:dyDescent="0.45">
      <c r="A3" s="174" t="str">
        <f>+Inndata!B3</f>
        <v>Universitetshøyskolen</v>
      </c>
      <c r="B3" s="34" t="s">
        <v>328</v>
      </c>
      <c r="C3" s="34" t="s">
        <v>335</v>
      </c>
      <c r="D3" s="34" t="s">
        <v>335</v>
      </c>
    </row>
    <row r="4" spans="1:4" x14ac:dyDescent="0.35">
      <c r="C4" s="196">
        <f>+Inndata!C6</f>
        <v>5.1999999999999998E-2</v>
      </c>
      <c r="D4" s="196">
        <f>+(Inndata!C6+1)*(Inndata!D6+1)-1</f>
        <v>9.8288000000000153E-2</v>
      </c>
    </row>
    <row r="5" spans="1:4" x14ac:dyDescent="0.35">
      <c r="C5" s="196"/>
      <c r="D5" s="196"/>
    </row>
    <row r="6" spans="1:4" ht="15.5" x14ac:dyDescent="0.35">
      <c r="A6" s="34" t="s">
        <v>18</v>
      </c>
      <c r="B6" s="34">
        <f>+Inndata!B6</f>
        <v>2022</v>
      </c>
      <c r="C6" s="34">
        <f>+B6+1</f>
        <v>2023</v>
      </c>
      <c r="D6" s="34">
        <f>+C6+1</f>
        <v>2024</v>
      </c>
    </row>
    <row r="7" spans="1:4" x14ac:dyDescent="0.35">
      <c r="A7" s="23" t="s">
        <v>6</v>
      </c>
      <c r="B7" s="59">
        <f>+Kostnadsfordeling!$Q$37</f>
        <v>180308758.35410622</v>
      </c>
      <c r="C7" s="59">
        <f>+B7*(1+Inndata!$C$6)</f>
        <v>189684813.78851974</v>
      </c>
      <c r="D7" s="59">
        <f>+C7*(1+Inndata!$D$6)</f>
        <v>198030945.59521461</v>
      </c>
    </row>
    <row r="8" spans="1:4" x14ac:dyDescent="0.35">
      <c r="A8" s="23" t="s">
        <v>63</v>
      </c>
      <c r="B8" s="44">
        <f>+Inndata!D20</f>
        <v>810</v>
      </c>
      <c r="C8" s="45">
        <f>+B8</f>
        <v>810</v>
      </c>
      <c r="D8" s="45">
        <f>+C8</f>
        <v>810</v>
      </c>
    </row>
    <row r="9" spans="1:4" x14ac:dyDescent="0.35">
      <c r="A9" s="23" t="s">
        <v>27</v>
      </c>
      <c r="B9" s="35">
        <f>+B7/B8</f>
        <v>222603.40537543976</v>
      </c>
      <c r="C9" s="35">
        <f>+C7/C8</f>
        <v>234178.78245496264</v>
      </c>
      <c r="D9" s="35">
        <f>+D7/D8</f>
        <v>244482.64888298098</v>
      </c>
    </row>
    <row r="10" spans="1:4" x14ac:dyDescent="0.35">
      <c r="A10" s="23" t="s">
        <v>58</v>
      </c>
      <c r="B10" s="35">
        <f>+B9/Inndata!$D$40</f>
        <v>136.73427848614236</v>
      </c>
      <c r="C10" s="35">
        <f>+C9/Inndata!$D$40</f>
        <v>143.84446096742178</v>
      </c>
      <c r="D10" s="35">
        <f>+D9/Inndata!$D$40</f>
        <v>150.17361724998833</v>
      </c>
    </row>
    <row r="11" spans="1:4" x14ac:dyDescent="0.35">
      <c r="B11" s="1"/>
    </row>
    <row r="12" spans="1:4" x14ac:dyDescent="0.35">
      <c r="B12" s="1"/>
    </row>
    <row r="13" spans="1:4" ht="15.5" x14ac:dyDescent="0.35">
      <c r="A13" s="3" t="s">
        <v>7</v>
      </c>
      <c r="B13" s="3">
        <f>+B6</f>
        <v>2022</v>
      </c>
      <c r="C13" s="3">
        <f t="shared" ref="C13:D13" si="0">+C6</f>
        <v>2023</v>
      </c>
      <c r="D13" s="3">
        <f t="shared" si="0"/>
        <v>2024</v>
      </c>
    </row>
    <row r="14" spans="1:4" x14ac:dyDescent="0.35">
      <c r="A14" s="23" t="s">
        <v>6</v>
      </c>
      <c r="B14" s="59">
        <f>+Kostnadsfordeling!$Q$38</f>
        <v>134488127.4501754</v>
      </c>
      <c r="C14" s="59">
        <f>+B14*(1+Inndata!$C$6)</f>
        <v>141481510.07758453</v>
      </c>
      <c r="D14" s="59">
        <f>+C14*(1+Inndata!$D$6)</f>
        <v>147706696.52099827</v>
      </c>
    </row>
    <row r="15" spans="1:4" x14ac:dyDescent="0.35">
      <c r="A15" s="23" t="s">
        <v>31</v>
      </c>
      <c r="B15" s="44">
        <f>+Inndata!D36</f>
        <v>326</v>
      </c>
      <c r="C15" s="45">
        <f>+B15</f>
        <v>326</v>
      </c>
      <c r="D15" s="45">
        <f>+C15</f>
        <v>326</v>
      </c>
    </row>
    <row r="16" spans="1:4" x14ac:dyDescent="0.35">
      <c r="A16" s="23" t="s">
        <v>29</v>
      </c>
      <c r="B16" s="35">
        <f>+B14/B15</f>
        <v>412540.26825207181</v>
      </c>
      <c r="C16" s="35">
        <f>+C14/C15</f>
        <v>433992.36220117955</v>
      </c>
      <c r="D16" s="35">
        <f>+D14/D15</f>
        <v>453088.02613803151</v>
      </c>
    </row>
    <row r="17" spans="1:4" x14ac:dyDescent="0.35">
      <c r="A17" s="23" t="s">
        <v>33</v>
      </c>
      <c r="B17" s="35">
        <f>+B16+B9</f>
        <v>635143.6736275116</v>
      </c>
      <c r="C17" s="35">
        <f>+C16+C9</f>
        <v>668171.14465614222</v>
      </c>
      <c r="D17" s="35">
        <f>+D16+D9</f>
        <v>697570.67502101255</v>
      </c>
    </row>
    <row r="18" spans="1:4" x14ac:dyDescent="0.35">
      <c r="A18" s="23" t="s">
        <v>58</v>
      </c>
      <c r="B18" s="35">
        <f>+B17/Inndata!$D$40</f>
        <v>390.13739166309068</v>
      </c>
      <c r="C18" s="35">
        <f>+C17/Inndata!$D$40</f>
        <v>410.42453602957141</v>
      </c>
      <c r="D18" s="35">
        <f>+D17/Inndata!$D$40</f>
        <v>428.48321561487256</v>
      </c>
    </row>
    <row r="21" spans="1:4" ht="15.5" x14ac:dyDescent="0.35">
      <c r="A21" s="3" t="s">
        <v>19</v>
      </c>
      <c r="B21" s="3">
        <f>+B13</f>
        <v>2022</v>
      </c>
      <c r="C21" s="3">
        <f t="shared" ref="C21:D21" si="1">+C13</f>
        <v>2023</v>
      </c>
      <c r="D21" s="3">
        <f t="shared" si="1"/>
        <v>2024</v>
      </c>
    </row>
    <row r="22" spans="1:4" x14ac:dyDescent="0.35">
      <c r="A22" s="23" t="s">
        <v>6</v>
      </c>
      <c r="B22" s="59">
        <f>+Kostnadsfordeling!$Q$39</f>
        <v>163013227.30777586</v>
      </c>
      <c r="C22" s="59">
        <f>+B22*(1+Inndata!$C$6)</f>
        <v>171489915.1277802</v>
      </c>
      <c r="D22" s="59">
        <f>+C22*(1+Inndata!$D$6)</f>
        <v>179035471.39340255</v>
      </c>
    </row>
    <row r="23" spans="1:4" x14ac:dyDescent="0.35">
      <c r="A23" s="23" t="s">
        <v>30</v>
      </c>
      <c r="B23" s="44">
        <f>+Inndata!D37</f>
        <v>439</v>
      </c>
      <c r="C23" s="45">
        <f>+B23</f>
        <v>439</v>
      </c>
      <c r="D23" s="45">
        <f>+C23</f>
        <v>439</v>
      </c>
    </row>
    <row r="24" spans="1:4" x14ac:dyDescent="0.35">
      <c r="A24" s="23" t="s">
        <v>32</v>
      </c>
      <c r="B24" s="35">
        <f>+B22/B23</f>
        <v>371328.53600860102</v>
      </c>
      <c r="C24" s="35">
        <f>+C22/C23</f>
        <v>390637.61988104827</v>
      </c>
      <c r="D24" s="35">
        <f>+D22/D23</f>
        <v>407825.67515581445</v>
      </c>
    </row>
    <row r="25" spans="1:4" x14ac:dyDescent="0.35">
      <c r="A25" s="23" t="s">
        <v>33</v>
      </c>
      <c r="B25" s="35">
        <f>+B24+B9</f>
        <v>593931.94138404075</v>
      </c>
      <c r="C25" s="35">
        <f>+C24+C9</f>
        <v>624816.40233601094</v>
      </c>
      <c r="D25" s="35">
        <f>+D24+D9</f>
        <v>652308.32403879543</v>
      </c>
    </row>
    <row r="26" spans="1:4" x14ac:dyDescent="0.35">
      <c r="A26" s="23" t="s">
        <v>58</v>
      </c>
      <c r="B26" s="35">
        <f>+B25/Inndata!$D$40</f>
        <v>364.82305981820684</v>
      </c>
      <c r="C26" s="35">
        <f>+C25/Inndata!$D$40</f>
        <v>383.79385892875365</v>
      </c>
      <c r="D26" s="35">
        <f>+D25/Inndata!$D$40</f>
        <v>400.6807887216188</v>
      </c>
    </row>
    <row r="27" spans="1:4" x14ac:dyDescent="0.35">
      <c r="A27" s="4"/>
      <c r="B27" s="1"/>
    </row>
    <row r="28" spans="1:4" ht="15.5" x14ac:dyDescent="0.35">
      <c r="A28" s="3" t="s">
        <v>23</v>
      </c>
      <c r="B28" s="3">
        <f>+B21</f>
        <v>2022</v>
      </c>
      <c r="C28" s="3">
        <f t="shared" ref="C28:D28" si="2">+C21</f>
        <v>2023</v>
      </c>
      <c r="D28" s="3">
        <f t="shared" si="2"/>
        <v>2024</v>
      </c>
    </row>
    <row r="29" spans="1:4" x14ac:dyDescent="0.35">
      <c r="A29" s="23" t="s">
        <v>6</v>
      </c>
      <c r="B29" s="59">
        <f>+Kostnadsfordeling!$Q$40</f>
        <v>293065222.59722203</v>
      </c>
      <c r="C29" s="59">
        <f>+B29*(1+Inndata!$C$6)</f>
        <v>308304614.17227757</v>
      </c>
      <c r="D29" s="59">
        <f>+C29*(1+Inndata!$D$6)</f>
        <v>321870017.19585782</v>
      </c>
    </row>
    <row r="30" spans="1:4" x14ac:dyDescent="0.35">
      <c r="A30" s="23" t="s">
        <v>55</v>
      </c>
      <c r="B30" s="44">
        <f>+Inndata!B43</f>
        <v>7500</v>
      </c>
      <c r="C30" s="45">
        <f>+B30</f>
        <v>7500</v>
      </c>
      <c r="D30" s="45">
        <f>+C30</f>
        <v>7500</v>
      </c>
    </row>
    <row r="31" spans="1:4" x14ac:dyDescent="0.35">
      <c r="A31" s="23" t="s">
        <v>56</v>
      </c>
      <c r="B31" s="35">
        <f>+B29/B30</f>
        <v>39075.363012962938</v>
      </c>
      <c r="C31" s="35">
        <f>+C29/C30</f>
        <v>41107.281889637008</v>
      </c>
      <c r="D31" s="35">
        <f>+D29/D30</f>
        <v>42916.002292781042</v>
      </c>
    </row>
    <row r="32" spans="1:4" x14ac:dyDescent="0.35">
      <c r="A32" s="23" t="s">
        <v>51</v>
      </c>
      <c r="B32" s="35">
        <f>+B31/60</f>
        <v>651.25605021604895</v>
      </c>
      <c r="C32" s="35">
        <f>+C31/60</f>
        <v>685.12136482728351</v>
      </c>
      <c r="D32" s="35">
        <f>+D31/60</f>
        <v>715.26670487968408</v>
      </c>
    </row>
    <row r="34" spans="1:4" ht="15.5" x14ac:dyDescent="0.35">
      <c r="A34" s="3" t="s">
        <v>208</v>
      </c>
      <c r="B34" s="3">
        <f>+B28</f>
        <v>2022</v>
      </c>
      <c r="C34" s="3">
        <f t="shared" ref="C34:D34" si="3">+C28</f>
        <v>2023</v>
      </c>
      <c r="D34" s="3">
        <f t="shared" si="3"/>
        <v>2024</v>
      </c>
    </row>
    <row r="35" spans="1:4" x14ac:dyDescent="0.35">
      <c r="A35" s="23" t="s">
        <v>6</v>
      </c>
      <c r="B35" s="59">
        <f>+Kostnadsfordeling!$Q$41</f>
        <v>28593132.527771443</v>
      </c>
      <c r="C35" s="59">
        <f>+B35*(1+Inndata!$C$6)</f>
        <v>30079975.41921556</v>
      </c>
      <c r="D35" s="59">
        <f>+C35*(1+Inndata!$D$6)</f>
        <v>31403494.337661047</v>
      </c>
    </row>
    <row r="36" spans="1:4" x14ac:dyDescent="0.35">
      <c r="A36" s="23" t="s">
        <v>230</v>
      </c>
      <c r="B36" s="44"/>
      <c r="C36" s="45"/>
      <c r="D36" s="45"/>
    </row>
    <row r="37" spans="1:4" x14ac:dyDescent="0.35">
      <c r="A37" s="23" t="s">
        <v>231</v>
      </c>
      <c r="B37" s="35"/>
      <c r="C37" s="35"/>
      <c r="D37" s="35"/>
    </row>
    <row r="38" spans="1:4" x14ac:dyDescent="0.35">
      <c r="B38" s="6"/>
      <c r="C38" s="6"/>
      <c r="D38" s="6"/>
    </row>
    <row r="39" spans="1:4" x14ac:dyDescent="0.35">
      <c r="A39" s="88" t="s">
        <v>217</v>
      </c>
      <c r="B39" s="24">
        <f>+B35+B29+B22+B14+B7</f>
        <v>799468468.23705089</v>
      </c>
      <c r="C39" s="24">
        <f>+C35+C29+C22+C14+C7</f>
        <v>841040828.58537757</v>
      </c>
      <c r="D39" s="24">
        <f>+D35+D29+D22+D14+D7</f>
        <v>878046625.04313421</v>
      </c>
    </row>
  </sheetData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1"/>
  <sheetViews>
    <sheetView showGridLines="0" zoomScaleNormal="100" workbookViewId="0">
      <selection activeCell="B5" sqref="B5"/>
    </sheetView>
  </sheetViews>
  <sheetFormatPr baseColWidth="10" defaultColWidth="9.1796875" defaultRowHeight="14.5" x14ac:dyDescent="0.35"/>
  <cols>
    <col min="1" max="1" width="34.1796875" customWidth="1"/>
    <col min="2" max="2" width="14.7265625" customWidth="1"/>
    <col min="3" max="3" width="13.26953125" bestFit="1" customWidth="1"/>
    <col min="4" max="4" width="13.1796875" customWidth="1"/>
    <col min="5" max="6" width="13.54296875" customWidth="1"/>
    <col min="7" max="7" width="15.26953125" bestFit="1" customWidth="1"/>
    <col min="8" max="8" width="16.453125" bestFit="1" customWidth="1"/>
    <col min="9" max="9" width="9.54296875" customWidth="1"/>
    <col min="10" max="10" width="24.54296875" customWidth="1"/>
    <col min="11" max="14" width="21.54296875" customWidth="1"/>
    <col min="15" max="17" width="19" customWidth="1"/>
    <col min="18" max="18" width="17.453125" customWidth="1"/>
  </cols>
  <sheetData>
    <row r="1" spans="1:8" ht="26" x14ac:dyDescent="0.6">
      <c r="A1" s="29" t="s">
        <v>85</v>
      </c>
    </row>
    <row r="2" spans="1:8" ht="17.5" customHeight="1" x14ac:dyDescent="0.6">
      <c r="A2" s="29"/>
    </row>
    <row r="3" spans="1:8" ht="17.5" customHeight="1" x14ac:dyDescent="0.45">
      <c r="A3" s="174" t="str">
        <f>+Inndata!B3</f>
        <v>Universitetshøyskolen</v>
      </c>
    </row>
    <row r="4" spans="1:8" ht="17.5" customHeight="1" x14ac:dyDescent="0.45">
      <c r="A4" s="174"/>
    </row>
    <row r="5" spans="1:8" x14ac:dyDescent="0.35">
      <c r="A5" t="s">
        <v>329</v>
      </c>
      <c r="B5" s="195">
        <v>2022</v>
      </c>
    </row>
    <row r="6" spans="1:8" x14ac:dyDescent="0.35">
      <c r="A6" t="str">
        <f>+"Prisjustering fra startår "&amp;Inndata!B6</f>
        <v>Prisjustering fra startår 2022</v>
      </c>
      <c r="B6" s="93">
        <f>IF(B5=Satser!B6,0,IF(B5=Satser!C6,Inndata!C6,(1+Inndata!C6)*(1+Inndata!D6)-1))</f>
        <v>0</v>
      </c>
    </row>
    <row r="8" spans="1:8" x14ac:dyDescent="0.35">
      <c r="A8" s="26" t="s">
        <v>9</v>
      </c>
      <c r="B8" s="26">
        <f>+Inndata!B109*(1+$B$6)</f>
        <v>1689721158.7700009</v>
      </c>
      <c r="C8" s="27">
        <f>+B8/$B$8</f>
        <v>1</v>
      </c>
      <c r="H8" s="1"/>
    </row>
    <row r="9" spans="1:8" x14ac:dyDescent="0.35">
      <c r="A9" s="26" t="s">
        <v>4</v>
      </c>
      <c r="B9" s="26">
        <f>+Inndata!C109*(1+$B$6)</f>
        <v>0</v>
      </c>
      <c r="C9" s="27">
        <f>+B9/$B$8</f>
        <v>0</v>
      </c>
      <c r="H9" s="1"/>
    </row>
    <row r="10" spans="1:8" x14ac:dyDescent="0.35">
      <c r="A10" s="26" t="s">
        <v>5</v>
      </c>
      <c r="B10" s="26">
        <f>+Inndata!D109*(1+$B$6)</f>
        <v>890252690.5329504</v>
      </c>
      <c r="C10" s="27">
        <f>+B10/$B$8</f>
        <v>0.52686366973175158</v>
      </c>
      <c r="H10" s="1"/>
    </row>
    <row r="11" spans="1:8" x14ac:dyDescent="0.35">
      <c r="A11" s="40" t="s">
        <v>207</v>
      </c>
      <c r="B11" s="21">
        <f>(+Inndata!B68+Inndata!B69+Inndata!D74)*(1+$B$6)</f>
        <v>711000000</v>
      </c>
      <c r="C11" s="22">
        <f>+B11/$B$10</f>
        <v>0.79864965033058122</v>
      </c>
      <c r="H11" s="1"/>
    </row>
    <row r="12" spans="1:8" x14ac:dyDescent="0.35">
      <c r="A12" s="40" t="s">
        <v>232</v>
      </c>
      <c r="B12" s="21">
        <f>+Inndata!E86*(1+$B$6)</f>
        <v>94118328.216595739</v>
      </c>
      <c r="C12" s="22">
        <f>+B12/$B$10</f>
        <v>0.10572091409266254</v>
      </c>
      <c r="H12" s="1"/>
    </row>
    <row r="13" spans="1:8" x14ac:dyDescent="0.35">
      <c r="A13" s="40" t="s">
        <v>317</v>
      </c>
      <c r="B13" s="21">
        <f>(+Inndata!E87+Inndata!B70+Inndata!B71+Inndata!D77)*(1+$B$6)</f>
        <v>52721071.849262409</v>
      </c>
      <c r="C13" s="22">
        <f>+B13/$B$10</f>
        <v>5.9220345425410513E-2</v>
      </c>
      <c r="H13" s="1"/>
    </row>
    <row r="14" spans="1:8" x14ac:dyDescent="0.35">
      <c r="A14" s="40" t="s">
        <v>233</v>
      </c>
      <c r="B14" s="21">
        <f>(+Inndata!E88+Inndata!D101)*(1+$B$6)</f>
        <v>32413290.467092197</v>
      </c>
      <c r="C14" s="22">
        <f>+B14/$B$10</f>
        <v>3.6409090151345636E-2</v>
      </c>
      <c r="H14" s="1"/>
    </row>
    <row r="15" spans="1:8" x14ac:dyDescent="0.35">
      <c r="A15" s="26" t="s">
        <v>6</v>
      </c>
      <c r="B15" s="61">
        <f>+G32</f>
        <v>799468468.23705089</v>
      </c>
      <c r="C15" s="27">
        <f>+B15/$B$8</f>
        <v>0.47313633026824858</v>
      </c>
      <c r="H15" s="1"/>
    </row>
    <row r="16" spans="1:8" x14ac:dyDescent="0.35">
      <c r="A16" s="40" t="s">
        <v>18</v>
      </c>
      <c r="B16" s="62">
        <f>+B32</f>
        <v>180308758.35410622</v>
      </c>
      <c r="C16" s="22">
        <f>+B16/$B$15</f>
        <v>0.22553579724252834</v>
      </c>
      <c r="H16" s="1"/>
    </row>
    <row r="17" spans="1:8" x14ac:dyDescent="0.35">
      <c r="A17" s="40" t="s">
        <v>7</v>
      </c>
      <c r="B17" s="62">
        <f>+C32</f>
        <v>134488127.45017537</v>
      </c>
      <c r="C17" s="22">
        <f>+B17/$B$15</f>
        <v>0.16822192843545422</v>
      </c>
      <c r="H17" s="1"/>
    </row>
    <row r="18" spans="1:8" x14ac:dyDescent="0.35">
      <c r="A18" s="40" t="s">
        <v>19</v>
      </c>
      <c r="B18" s="62">
        <f>+D32</f>
        <v>163013227.30777586</v>
      </c>
      <c r="C18" s="22">
        <f>+B18/$B$15</f>
        <v>0.20390200962802787</v>
      </c>
      <c r="H18" s="1"/>
    </row>
    <row r="19" spans="1:8" x14ac:dyDescent="0.35">
      <c r="A19" s="40" t="s">
        <v>23</v>
      </c>
      <c r="B19" s="59">
        <f>+E32</f>
        <v>293065222.59722203</v>
      </c>
      <c r="C19" s="22">
        <f>+B19/$B$15</f>
        <v>0.36657508612375328</v>
      </c>
      <c r="H19" s="1"/>
    </row>
    <row r="20" spans="1:8" x14ac:dyDescent="0.35">
      <c r="A20" s="40" t="s">
        <v>208</v>
      </c>
      <c r="B20" s="59">
        <f>+F32</f>
        <v>28593132.527771443</v>
      </c>
      <c r="C20" s="22">
        <f>+B20/$B$15</f>
        <v>3.5765178570236339E-2</v>
      </c>
      <c r="H20" s="1"/>
    </row>
    <row r="21" spans="1:8" x14ac:dyDescent="0.35">
      <c r="H21" s="1"/>
    </row>
    <row r="23" spans="1:8" x14ac:dyDescent="0.35">
      <c r="A23" s="31" t="s">
        <v>96</v>
      </c>
      <c r="B23" s="31" t="s">
        <v>18</v>
      </c>
      <c r="C23" s="31" t="s">
        <v>7</v>
      </c>
      <c r="D23" s="31" t="s">
        <v>19</v>
      </c>
      <c r="E23" s="31" t="s">
        <v>23</v>
      </c>
      <c r="F23" s="31" t="s">
        <v>208</v>
      </c>
      <c r="G23" s="31" t="s">
        <v>2</v>
      </c>
      <c r="H23" s="31" t="s">
        <v>72</v>
      </c>
    </row>
    <row r="24" spans="1:8" x14ac:dyDescent="0.35">
      <c r="A24" s="21" t="s">
        <v>218</v>
      </c>
      <c r="B24" s="59"/>
      <c r="C24" s="59">
        <f>+Kostnadsfordeling!Q10*(1+$B$6)</f>
        <v>58532688.04097718</v>
      </c>
      <c r="D24" s="59">
        <f>+Kostnadsfordeling!Q9*(1+$B$6)</f>
        <v>78821625.920211598</v>
      </c>
      <c r="E24" s="59">
        <f>+Kostnadsfordeling!Q8*(1+$B$6)</f>
        <v>134661092.11881256</v>
      </c>
      <c r="F24" s="59"/>
      <c r="G24" s="59">
        <f>SUM(B24:F24)</f>
        <v>272015406.08000135</v>
      </c>
      <c r="H24" s="22">
        <f t="shared" ref="H24:H32" si="0">+G24/$G$32</f>
        <v>0.34024532159452958</v>
      </c>
    </row>
    <row r="25" spans="1:8" x14ac:dyDescent="0.35">
      <c r="A25" s="21" t="s">
        <v>3</v>
      </c>
      <c r="B25" s="59"/>
      <c r="C25" s="59">
        <f>+Kostnadsfordeling!Q14*(1+$B$6)</f>
        <v>4631967.5949935084</v>
      </c>
      <c r="D25" s="59">
        <f>+Kostnadsfordeling!Q13*(1+$B$6)</f>
        <v>6237526.9147305219</v>
      </c>
      <c r="E25" s="59">
        <f>+Kostnadsfordeling!Q12*(1+$B$6)</f>
        <v>26640917.915990267</v>
      </c>
      <c r="F25" s="59">
        <f>+Kostnadsfordeling!Q11*(1+$B$6)</f>
        <v>5393654.0742857167</v>
      </c>
      <c r="G25" s="59">
        <f>SUM(B25:F25)</f>
        <v>42904066.500000015</v>
      </c>
      <c r="H25" s="22">
        <f t="shared" si="0"/>
        <v>5.3665739431362415E-2</v>
      </c>
    </row>
    <row r="26" spans="1:8" x14ac:dyDescent="0.35">
      <c r="A26" s="21" t="s">
        <v>24</v>
      </c>
      <c r="B26" s="59"/>
      <c r="C26" s="59">
        <f>+Kostnadsfordeling!Q16*(1+$B$6)</f>
        <v>13435024.711371427</v>
      </c>
      <c r="D26" s="59"/>
      <c r="E26" s="59"/>
      <c r="F26" s="59">
        <f>+Kostnadsfordeling!Q15*(1+$B$6)</f>
        <v>1931833.6186285713</v>
      </c>
      <c r="G26" s="59">
        <f t="shared" ref="G26:G31" si="1">SUM(B26:F26)</f>
        <v>15366858.329999998</v>
      </c>
      <c r="H26" s="22">
        <f t="shared" si="0"/>
        <v>1.9221343855982523E-2</v>
      </c>
    </row>
    <row r="27" spans="1:8" x14ac:dyDescent="0.35">
      <c r="A27" s="21" t="s">
        <v>11</v>
      </c>
      <c r="B27" s="63"/>
      <c r="C27" s="63"/>
      <c r="D27" s="63"/>
      <c r="E27" s="62">
        <f>+Kostnadsfordeling!Q17*(1+$B$6)</f>
        <v>70986424.449999928</v>
      </c>
      <c r="F27" s="62"/>
      <c r="G27" s="59">
        <f t="shared" si="1"/>
        <v>70986424.449999928</v>
      </c>
      <c r="H27" s="22">
        <f t="shared" si="0"/>
        <v>8.8792025289672463E-2</v>
      </c>
    </row>
    <row r="28" spans="1:8" x14ac:dyDescent="0.35">
      <c r="A28" s="21" t="s">
        <v>66</v>
      </c>
      <c r="B28" s="59">
        <f>+Kostnadsfordeling!Q19*(1+$B$6)</f>
        <v>55844421.117942885</v>
      </c>
      <c r="C28" s="59"/>
      <c r="D28" s="59"/>
      <c r="E28" s="59">
        <f>+Kostnadsfordeling!Q20*(1+$B$6)</f>
        <v>27922210.558971439</v>
      </c>
      <c r="F28" s="59">
        <f>+Kostnadsfordeling!Q18*(1+$B$6)</f>
        <v>12044875.14308572</v>
      </c>
      <c r="G28" s="59">
        <f t="shared" si="1"/>
        <v>95811506.820000038</v>
      </c>
      <c r="H28" s="22">
        <f t="shared" si="0"/>
        <v>0.11984400964715836</v>
      </c>
    </row>
    <row r="29" spans="1:8" x14ac:dyDescent="0.35">
      <c r="A29" s="21" t="s">
        <v>73</v>
      </c>
      <c r="B29" s="59">
        <f>+Kostnadsfordeling!Q22*(1+$B$6)</f>
        <v>42412461.355028592</v>
      </c>
      <c r="C29" s="59"/>
      <c r="D29" s="59"/>
      <c r="E29" s="59"/>
      <c r="F29" s="59">
        <f>+Kostnadsfordeling!Q21*(1+$B$6)</f>
        <v>6098523.8549714321</v>
      </c>
      <c r="G29" s="59">
        <f t="shared" si="1"/>
        <v>48510985.210000023</v>
      </c>
      <c r="H29" s="22">
        <f t="shared" si="0"/>
        <v>6.0679047563907178E-2</v>
      </c>
    </row>
    <row r="30" spans="1:8" x14ac:dyDescent="0.35">
      <c r="A30" s="21" t="s">
        <v>0</v>
      </c>
      <c r="B30" s="59">
        <f>+Kostnadsfordeling!Q23*(1+$B$6)</f>
        <v>82051875.881134748</v>
      </c>
      <c r="C30" s="59">
        <f>(+Kostnadsfordeling!Q30+Kostnadsfordeling!Q27)*(1+$B$6)</f>
        <v>49456026.440067545</v>
      </c>
      <c r="D30" s="59">
        <f>(+Kostnadsfordeling!Q29+Kostnadsfordeling!Q26)*(1+$B$6)</f>
        <v>66598759.531256601</v>
      </c>
      <c r="E30" s="59">
        <f>(+Kostnadsfordeling!Q28+Kostnadsfordeling!Q24+Kostnadsfordeling!Q25)*(1+$B$6)</f>
        <v>30914603.474590734</v>
      </c>
      <c r="F30" s="59"/>
      <c r="G30" s="59">
        <f t="shared" si="1"/>
        <v>229021265.32704961</v>
      </c>
      <c r="H30" s="22">
        <f t="shared" si="0"/>
        <v>0.28646691448891815</v>
      </c>
    </row>
    <row r="31" spans="1:8" x14ac:dyDescent="0.35">
      <c r="A31" s="21" t="s">
        <v>86</v>
      </c>
      <c r="B31" s="59"/>
      <c r="C31" s="59">
        <f>+Kostnadsfordeling!Q34*(1+$B$6)</f>
        <v>8432420.662765719</v>
      </c>
      <c r="D31" s="59">
        <f>+Kostnadsfordeling!Q33*(1+$B$6)</f>
        <v>11355314.94157715</v>
      </c>
      <c r="E31" s="59">
        <f>+Kostnadsfordeling!Q32*(1+$B$6)</f>
        <v>1939974.0788571443</v>
      </c>
      <c r="F31" s="59">
        <f>+Kostnadsfordeling!Q31*(1+$B$6)</f>
        <v>3124245.8368000025</v>
      </c>
      <c r="G31" s="59">
        <f t="shared" si="1"/>
        <v>24851955.520000018</v>
      </c>
      <c r="H31" s="22">
        <f t="shared" si="0"/>
        <v>3.1085598128469463E-2</v>
      </c>
    </row>
    <row r="32" spans="1:8" x14ac:dyDescent="0.35">
      <c r="A32" s="24" t="s">
        <v>217</v>
      </c>
      <c r="B32" s="60">
        <f t="shared" ref="B32:G32" si="2">SUM(B24:B31)</f>
        <v>180308758.35410622</v>
      </c>
      <c r="C32" s="60">
        <f t="shared" si="2"/>
        <v>134488127.45017537</v>
      </c>
      <c r="D32" s="60">
        <f t="shared" si="2"/>
        <v>163013227.30777586</v>
      </c>
      <c r="E32" s="60">
        <f t="shared" si="2"/>
        <v>293065222.59722203</v>
      </c>
      <c r="F32" s="60">
        <f t="shared" si="2"/>
        <v>28593132.527771443</v>
      </c>
      <c r="G32" s="60">
        <f t="shared" si="2"/>
        <v>799468468.23705089</v>
      </c>
      <c r="H32" s="25">
        <f t="shared" si="0"/>
        <v>1</v>
      </c>
    </row>
    <row r="33" spans="1:8" x14ac:dyDescent="0.35">
      <c r="A33" s="24" t="s">
        <v>95</v>
      </c>
      <c r="B33" s="25">
        <f t="shared" ref="B33:G33" si="3">+B32/$G$32</f>
        <v>0.22553579724252834</v>
      </c>
      <c r="C33" s="25">
        <f t="shared" si="3"/>
        <v>0.16822192843545422</v>
      </c>
      <c r="D33" s="25">
        <f t="shared" si="3"/>
        <v>0.20390200962802787</v>
      </c>
      <c r="E33" s="25">
        <f t="shared" si="3"/>
        <v>0.36657508612375328</v>
      </c>
      <c r="F33" s="25">
        <f t="shared" si="3"/>
        <v>3.5765178570236339E-2</v>
      </c>
      <c r="G33" s="25">
        <f t="shared" si="3"/>
        <v>1</v>
      </c>
      <c r="H33" s="25"/>
    </row>
    <row r="37" spans="1:8" ht="43.5" x14ac:dyDescent="0.35">
      <c r="A37" s="32" t="s">
        <v>80</v>
      </c>
      <c r="B37" s="33" t="s">
        <v>81</v>
      </c>
      <c r="C37" s="33" t="s">
        <v>82</v>
      </c>
      <c r="D37" s="33" t="s">
        <v>83</v>
      </c>
      <c r="E37" s="33" t="s">
        <v>84</v>
      </c>
      <c r="F37" s="33" t="s">
        <v>228</v>
      </c>
    </row>
    <row r="38" spans="1:8" x14ac:dyDescent="0.35">
      <c r="A38" s="28" t="s">
        <v>6</v>
      </c>
      <c r="B38" s="59">
        <f>+B32</f>
        <v>180308758.35410622</v>
      </c>
      <c r="C38" s="59">
        <f>+C32</f>
        <v>134488127.45017537</v>
      </c>
      <c r="D38" s="59">
        <f>+D32</f>
        <v>163013227.30777586</v>
      </c>
      <c r="E38" s="59">
        <f>+E32</f>
        <v>293065222.59722203</v>
      </c>
      <c r="F38" s="59">
        <f>+F32</f>
        <v>28593132.527771443</v>
      </c>
      <c r="G38" s="6"/>
    </row>
    <row r="39" spans="1:8" x14ac:dyDescent="0.35">
      <c r="A39" s="28" t="s">
        <v>80</v>
      </c>
      <c r="B39" s="44">
        <f>+Satser!B8</f>
        <v>810</v>
      </c>
      <c r="C39" s="44">
        <f>+Satser!B15</f>
        <v>326</v>
      </c>
      <c r="D39" s="44">
        <f>+Satser!B23</f>
        <v>439</v>
      </c>
      <c r="E39" s="44">
        <f>+Satser!B30</f>
        <v>7500</v>
      </c>
      <c r="F39" s="44"/>
    </row>
    <row r="40" spans="1:8" x14ac:dyDescent="0.35">
      <c r="A40" s="28" t="s">
        <v>94</v>
      </c>
      <c r="B40" s="64">
        <f>+B32/B39</f>
        <v>222603.40537543976</v>
      </c>
      <c r="C40" s="64">
        <f>+C32/C39</f>
        <v>412540.26825207169</v>
      </c>
      <c r="D40" s="64">
        <f>+D32/D39</f>
        <v>371328.53600860102</v>
      </c>
      <c r="E40" s="64">
        <f>+E32/E39</f>
        <v>39075.363012962938</v>
      </c>
      <c r="F40" s="64"/>
    </row>
    <row r="41" spans="1:8" x14ac:dyDescent="0.35">
      <c r="A41" s="28" t="s">
        <v>111</v>
      </c>
      <c r="B41" s="35">
        <f>+Satser!B10*(1+$B$6)</f>
        <v>136.73427848614236</v>
      </c>
      <c r="C41" s="35">
        <f>+Satser!B18*(1+$B$6)</f>
        <v>390.13739166309068</v>
      </c>
      <c r="D41" s="35">
        <f>+Satser!B26*(1+$B$6)</f>
        <v>364.82305981820684</v>
      </c>
      <c r="E41" s="35">
        <f>+Satser!B32*(1+$B$6)</f>
        <v>651.25605021604895</v>
      </c>
      <c r="F41" s="35"/>
    </row>
  </sheetData>
  <pageMargins left="0.7" right="0.7" top="0.75" bottom="0.75" header="0.3" footer="0.3"/>
  <pageSetup paperSize="9" scale="6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03B421-5D4E-40F6-86E9-EDBEF59BE732}">
          <x14:formula1>
            <xm:f>Satser!$B$6:$D$6</xm:f>
          </x14:formula1>
          <xm:sqref>B5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212A4-C2ED-43D6-B9AE-AF1D5A3D35D6}">
  <sheetPr>
    <pageSetUpPr fitToPage="1"/>
  </sheetPr>
  <dimension ref="A1:L121"/>
  <sheetViews>
    <sheetView showGridLines="0" zoomScale="98" zoomScaleNormal="98" workbookViewId="0">
      <selection activeCell="A3" sqref="A3"/>
    </sheetView>
  </sheetViews>
  <sheetFormatPr baseColWidth="10" defaultRowHeight="14.5" x14ac:dyDescent="0.35"/>
  <cols>
    <col min="1" max="1" width="41" customWidth="1"/>
    <col min="2" max="6" width="20" customWidth="1"/>
    <col min="15" max="15" width="10.81640625" customWidth="1"/>
  </cols>
  <sheetData>
    <row r="1" spans="1:1" ht="26" x14ac:dyDescent="0.6">
      <c r="A1" s="29" t="s">
        <v>100</v>
      </c>
    </row>
    <row r="2" spans="1:1" ht="17.5" customHeight="1" x14ac:dyDescent="0.6">
      <c r="A2" s="29"/>
    </row>
    <row r="3" spans="1:1" ht="17.5" customHeight="1" x14ac:dyDescent="0.45">
      <c r="A3" s="174" t="str">
        <f>+Inndata!B3</f>
        <v>Universitetshøyskolen</v>
      </c>
    </row>
    <row r="4" spans="1:1" ht="17.5" customHeight="1" x14ac:dyDescent="0.45">
      <c r="A4" s="193">
        <f>+Oppsummering!B5</f>
        <v>2022</v>
      </c>
    </row>
    <row r="40" spans="1:6" ht="21" x14ac:dyDescent="0.5">
      <c r="A40" s="38" t="s">
        <v>72</v>
      </c>
      <c r="B40" s="37">
        <f>+Oppsummering!B33</f>
        <v>0.22553579724252834</v>
      </c>
      <c r="C40" s="37">
        <f>+Oppsummering!C33</f>
        <v>0.16822192843545422</v>
      </c>
      <c r="D40" s="37">
        <f>+Oppsummering!D33</f>
        <v>0.20390200962802787</v>
      </c>
      <c r="E40" s="37">
        <f>+Oppsummering!E33</f>
        <v>0.36657508612375328</v>
      </c>
      <c r="F40" s="37">
        <f>+Oppsummering!F33</f>
        <v>3.5765178570236339E-2</v>
      </c>
    </row>
    <row r="41" spans="1:6" ht="21" x14ac:dyDescent="0.35">
      <c r="A41" s="38" t="s">
        <v>217</v>
      </c>
      <c r="B41" s="38">
        <f>+Oppsummering!B32</f>
        <v>180308758.35410622</v>
      </c>
      <c r="C41" s="38">
        <f>+Oppsummering!C32</f>
        <v>134488127.45017537</v>
      </c>
      <c r="D41" s="38">
        <f>+Oppsummering!D32</f>
        <v>163013227.30777586</v>
      </c>
      <c r="E41" s="38">
        <f>+Oppsummering!E32</f>
        <v>293065222.59722203</v>
      </c>
      <c r="F41" s="38">
        <f>+Oppsummering!F32</f>
        <v>28593132.527771443</v>
      </c>
    </row>
    <row r="42" spans="1:6" ht="21" x14ac:dyDescent="0.35">
      <c r="A42" s="38"/>
      <c r="B42" s="38"/>
      <c r="C42" s="38"/>
      <c r="D42" s="38"/>
      <c r="E42" s="38"/>
      <c r="F42" s="38"/>
    </row>
    <row r="43" spans="1:6" ht="21" x14ac:dyDescent="0.35">
      <c r="A43" s="38"/>
      <c r="B43" s="38"/>
      <c r="C43" s="38"/>
      <c r="D43" s="38"/>
      <c r="E43" s="38"/>
      <c r="F43" s="38"/>
    </row>
    <row r="55" spans="12:12" x14ac:dyDescent="0.35">
      <c r="L55" s="76"/>
    </row>
    <row r="80" spans="1:6" ht="21" x14ac:dyDescent="0.35">
      <c r="A80" s="38" t="s">
        <v>325</v>
      </c>
      <c r="C80" s="192">
        <f>+Oppsummering!B40</f>
        <v>222603.40537543976</v>
      </c>
      <c r="D80" s="192">
        <f>+Oppsummering!C40+C80</f>
        <v>635143.67362751148</v>
      </c>
      <c r="E80" s="192">
        <f>+Oppsummering!D40+C80</f>
        <v>593931.94138404075</v>
      </c>
      <c r="F80" s="192">
        <f>+Oppsummering!E40</f>
        <v>39075.363012962938</v>
      </c>
    </row>
    <row r="121" spans="1:6" ht="21" x14ac:dyDescent="0.35">
      <c r="A121" s="38" t="s">
        <v>111</v>
      </c>
      <c r="B121" s="36">
        <f>+Oppsummering!B41</f>
        <v>136.73427848614236</v>
      </c>
      <c r="D121" s="192">
        <f>+Satser!B18</f>
        <v>390.13739166309068</v>
      </c>
      <c r="E121" s="192">
        <f>+Oppsummering!D41</f>
        <v>364.82305981820684</v>
      </c>
      <c r="F121" s="36">
        <f>+Oppsummering!E41</f>
        <v>651.25605021604895</v>
      </c>
    </row>
  </sheetData>
  <pageMargins left="0.7" right="0.7" top="0.75" bottom="0.75" header="0.3" footer="0.3"/>
  <pageSetup scale="3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9AF8-581F-49B0-BB66-98C8E97FD8B8}">
  <sheetPr>
    <pageSetUpPr fitToPage="1"/>
  </sheetPr>
  <dimension ref="A1:C175"/>
  <sheetViews>
    <sheetView showGridLines="0" zoomScaleNormal="100" workbookViewId="0">
      <selection activeCell="B3" sqref="B3"/>
    </sheetView>
  </sheetViews>
  <sheetFormatPr baseColWidth="10" defaultRowHeight="14.5" x14ac:dyDescent="0.35"/>
  <cols>
    <col min="1" max="1" width="54.81640625" customWidth="1"/>
    <col min="2" max="2" width="17.81640625" customWidth="1"/>
    <col min="3" max="3" width="135.453125" customWidth="1"/>
    <col min="4" max="4" width="19.81640625" customWidth="1"/>
  </cols>
  <sheetData>
    <row r="1" spans="1:3" ht="26" x14ac:dyDescent="0.6">
      <c r="A1" s="29" t="s">
        <v>330</v>
      </c>
    </row>
    <row r="2" spans="1:3" ht="26" x14ac:dyDescent="0.6">
      <c r="A2" s="29"/>
    </row>
    <row r="3" spans="1:3" x14ac:dyDescent="0.35">
      <c r="A3" t="s">
        <v>331</v>
      </c>
      <c r="B3" t="s">
        <v>332</v>
      </c>
    </row>
    <row r="4" spans="1:3" x14ac:dyDescent="0.35">
      <c r="B4" t="s">
        <v>333</v>
      </c>
    </row>
    <row r="5" spans="1:3" x14ac:dyDescent="0.35">
      <c r="B5" t="s">
        <v>334</v>
      </c>
    </row>
    <row r="8" spans="1:3" x14ac:dyDescent="0.35">
      <c r="A8" t="s">
        <v>168</v>
      </c>
      <c r="B8" s="131" t="s">
        <v>101</v>
      </c>
      <c r="C8" t="s">
        <v>102</v>
      </c>
    </row>
    <row r="9" spans="1:3" x14ac:dyDescent="0.35">
      <c r="B9" s="132" t="s">
        <v>107</v>
      </c>
      <c r="C9" t="s">
        <v>294</v>
      </c>
    </row>
    <row r="10" spans="1:3" ht="15" thickBot="1" x14ac:dyDescent="0.4"/>
    <row r="11" spans="1:3" ht="15" thickBot="1" x14ac:dyDescent="0.4">
      <c r="B11" s="133" t="s">
        <v>122</v>
      </c>
      <c r="C11" t="s">
        <v>295</v>
      </c>
    </row>
    <row r="13" spans="1:3" x14ac:dyDescent="0.35">
      <c r="B13" s="134" t="s">
        <v>103</v>
      </c>
      <c r="C13" t="s">
        <v>296</v>
      </c>
    </row>
    <row r="14" spans="1:3" x14ac:dyDescent="0.35">
      <c r="B14" s="135" t="s">
        <v>104</v>
      </c>
      <c r="C14" t="s">
        <v>297</v>
      </c>
    </row>
    <row r="15" spans="1:3" x14ac:dyDescent="0.35">
      <c r="B15" s="136" t="s">
        <v>105</v>
      </c>
      <c r="C15" t="s">
        <v>5</v>
      </c>
    </row>
    <row r="16" spans="1:3" x14ac:dyDescent="0.35">
      <c r="B16" s="137" t="s">
        <v>108</v>
      </c>
      <c r="C16" t="s">
        <v>6</v>
      </c>
    </row>
    <row r="17" spans="1:3" x14ac:dyDescent="0.35">
      <c r="B17" s="74" t="s">
        <v>112</v>
      </c>
      <c r="C17" t="s">
        <v>298</v>
      </c>
    </row>
    <row r="19" spans="1:3" x14ac:dyDescent="0.35">
      <c r="A19" t="s">
        <v>169</v>
      </c>
      <c r="B19" t="s">
        <v>174</v>
      </c>
      <c r="C19" t="s">
        <v>299</v>
      </c>
    </row>
    <row r="20" spans="1:3" x14ac:dyDescent="0.35">
      <c r="B20" t="s">
        <v>172</v>
      </c>
      <c r="C20" t="s">
        <v>300</v>
      </c>
    </row>
    <row r="21" spans="1:3" x14ac:dyDescent="0.35">
      <c r="B21" t="s">
        <v>109</v>
      </c>
      <c r="C21" t="s">
        <v>301</v>
      </c>
    </row>
    <row r="22" spans="1:3" x14ac:dyDescent="0.35">
      <c r="B22" t="s">
        <v>87</v>
      </c>
      <c r="C22" t="s">
        <v>302</v>
      </c>
    </row>
    <row r="23" spans="1:3" x14ac:dyDescent="0.35">
      <c r="B23" t="s">
        <v>88</v>
      </c>
      <c r="C23" t="s">
        <v>303</v>
      </c>
    </row>
    <row r="24" spans="1:3" x14ac:dyDescent="0.35">
      <c r="B24" t="s">
        <v>131</v>
      </c>
      <c r="C24" t="s">
        <v>304</v>
      </c>
    </row>
    <row r="25" spans="1:3" x14ac:dyDescent="0.35">
      <c r="B25" t="s">
        <v>132</v>
      </c>
      <c r="C25" t="s">
        <v>305</v>
      </c>
    </row>
    <row r="26" spans="1:3" x14ac:dyDescent="0.35">
      <c r="B26" t="s">
        <v>133</v>
      </c>
      <c r="C26" t="s">
        <v>306</v>
      </c>
    </row>
    <row r="27" spans="1:3" x14ac:dyDescent="0.35">
      <c r="B27" t="s">
        <v>135</v>
      </c>
      <c r="C27" t="s">
        <v>307</v>
      </c>
    </row>
    <row r="28" spans="1:3" x14ac:dyDescent="0.35">
      <c r="B28" t="s">
        <v>136</v>
      </c>
      <c r="C28" t="s">
        <v>308</v>
      </c>
    </row>
    <row r="29" spans="1:3" x14ac:dyDescent="0.35">
      <c r="B29" t="s">
        <v>41</v>
      </c>
      <c r="C29" t="s">
        <v>309</v>
      </c>
    </row>
    <row r="30" spans="1:3" x14ac:dyDescent="0.35">
      <c r="B30" t="s">
        <v>163</v>
      </c>
      <c r="C30" t="s">
        <v>311</v>
      </c>
    </row>
    <row r="32" spans="1:3" x14ac:dyDescent="0.35">
      <c r="A32" t="s">
        <v>170</v>
      </c>
      <c r="B32" t="s">
        <v>256</v>
      </c>
    </row>
    <row r="33" spans="2:3" x14ac:dyDescent="0.35">
      <c r="B33" t="s">
        <v>171</v>
      </c>
    </row>
    <row r="34" spans="2:3" x14ac:dyDescent="0.35">
      <c r="B34" t="s">
        <v>176</v>
      </c>
    </row>
    <row r="35" spans="2:3" x14ac:dyDescent="0.35">
      <c r="B35" t="s">
        <v>253</v>
      </c>
    </row>
    <row r="36" spans="2:3" x14ac:dyDescent="0.35">
      <c r="B36" s="136" t="s">
        <v>175</v>
      </c>
    </row>
    <row r="37" spans="2:3" x14ac:dyDescent="0.35">
      <c r="B37" s="137" t="s">
        <v>255</v>
      </c>
      <c r="C37" s="137"/>
    </row>
    <row r="38" spans="2:3" x14ac:dyDescent="0.35">
      <c r="B38" t="s">
        <v>237</v>
      </c>
    </row>
    <row r="39" spans="2:3" x14ac:dyDescent="0.35">
      <c r="B39" t="s">
        <v>258</v>
      </c>
    </row>
    <row r="40" spans="2:3" x14ac:dyDescent="0.35">
      <c r="B40" t="s">
        <v>257</v>
      </c>
    </row>
    <row r="41" spans="2:3" x14ac:dyDescent="0.35">
      <c r="B41" t="s">
        <v>227</v>
      </c>
    </row>
    <row r="57" spans="1:3" x14ac:dyDescent="0.35">
      <c r="A57" t="s">
        <v>177</v>
      </c>
      <c r="B57" s="74" t="s">
        <v>102</v>
      </c>
    </row>
    <row r="58" spans="1:3" x14ac:dyDescent="0.35">
      <c r="B58" t="s">
        <v>246</v>
      </c>
    </row>
    <row r="59" spans="1:3" x14ac:dyDescent="0.35">
      <c r="B59" t="s">
        <v>180</v>
      </c>
    </row>
    <row r="60" spans="1:3" ht="15" thickBot="1" x14ac:dyDescent="0.4">
      <c r="B60" s="131" t="s">
        <v>179</v>
      </c>
      <c r="C60" s="131"/>
    </row>
    <row r="61" spans="1:3" ht="15" thickBot="1" x14ac:dyDescent="0.4">
      <c r="B61" s="133" t="s">
        <v>178</v>
      </c>
      <c r="C61" s="133"/>
    </row>
    <row r="62" spans="1:3" x14ac:dyDescent="0.35">
      <c r="B62" t="s">
        <v>185</v>
      </c>
    </row>
    <row r="63" spans="1:3" x14ac:dyDescent="0.35">
      <c r="B63" t="s">
        <v>312</v>
      </c>
    </row>
    <row r="64" spans="1:3" x14ac:dyDescent="0.35">
      <c r="B64" s="137" t="s">
        <v>254</v>
      </c>
    </row>
    <row r="65" spans="2:2" x14ac:dyDescent="0.35">
      <c r="B65" t="s">
        <v>244</v>
      </c>
    </row>
    <row r="66" spans="2:2" x14ac:dyDescent="0.35">
      <c r="B66" t="s">
        <v>192</v>
      </c>
    </row>
    <row r="68" spans="2:2" x14ac:dyDescent="0.35">
      <c r="B68" s="74" t="s">
        <v>181</v>
      </c>
    </row>
    <row r="69" spans="2:2" x14ac:dyDescent="0.35">
      <c r="B69" t="s">
        <v>238</v>
      </c>
    </row>
    <row r="70" spans="2:2" x14ac:dyDescent="0.35">
      <c r="B70" t="s">
        <v>245</v>
      </c>
    </row>
    <row r="72" spans="2:2" x14ac:dyDescent="0.35">
      <c r="B72" s="74" t="s">
        <v>182</v>
      </c>
    </row>
    <row r="73" spans="2:2" x14ac:dyDescent="0.35">
      <c r="B73" t="s">
        <v>239</v>
      </c>
    </row>
    <row r="74" spans="2:2" x14ac:dyDescent="0.35">
      <c r="B74" t="s">
        <v>240</v>
      </c>
    </row>
    <row r="75" spans="2:2" x14ac:dyDescent="0.35">
      <c r="B75" t="s">
        <v>241</v>
      </c>
    </row>
    <row r="77" spans="2:2" x14ac:dyDescent="0.35">
      <c r="B77" s="74" t="s">
        <v>137</v>
      </c>
    </row>
    <row r="78" spans="2:2" x14ac:dyDescent="0.35">
      <c r="B78" t="s">
        <v>259</v>
      </c>
    </row>
    <row r="79" spans="2:2" x14ac:dyDescent="0.35">
      <c r="B79" t="s">
        <v>343</v>
      </c>
    </row>
    <row r="81" spans="1:2" x14ac:dyDescent="0.35">
      <c r="B81" s="74" t="s">
        <v>183</v>
      </c>
    </row>
    <row r="82" spans="1:2" x14ac:dyDescent="0.35">
      <c r="B82" t="s">
        <v>247</v>
      </c>
    </row>
    <row r="83" spans="1:2" x14ac:dyDescent="0.35">
      <c r="B83" t="s">
        <v>344</v>
      </c>
    </row>
    <row r="85" spans="1:2" x14ac:dyDescent="0.35">
      <c r="B85" s="74" t="s">
        <v>184</v>
      </c>
    </row>
    <row r="86" spans="1:2" x14ac:dyDescent="0.35">
      <c r="B86" t="s">
        <v>242</v>
      </c>
    </row>
    <row r="89" spans="1:2" x14ac:dyDescent="0.35">
      <c r="A89" t="s">
        <v>193</v>
      </c>
      <c r="B89" t="s">
        <v>339</v>
      </c>
    </row>
    <row r="91" spans="1:2" x14ac:dyDescent="0.35">
      <c r="A91" t="s">
        <v>274</v>
      </c>
      <c r="B91" t="s">
        <v>278</v>
      </c>
    </row>
    <row r="92" spans="1:2" x14ac:dyDescent="0.35">
      <c r="B92" t="s">
        <v>275</v>
      </c>
    </row>
    <row r="93" spans="1:2" x14ac:dyDescent="0.35">
      <c r="B93" t="s">
        <v>276</v>
      </c>
    </row>
    <row r="94" spans="1:2" x14ac:dyDescent="0.35">
      <c r="B94" t="s">
        <v>279</v>
      </c>
    </row>
    <row r="95" spans="1:2" x14ac:dyDescent="0.35">
      <c r="B95" s="123" t="s">
        <v>280</v>
      </c>
    </row>
    <row r="96" spans="1:2" x14ac:dyDescent="0.35">
      <c r="B96" s="123" t="s">
        <v>310</v>
      </c>
    </row>
    <row r="97" spans="1:3" x14ac:dyDescent="0.35">
      <c r="B97" s="65"/>
    </row>
    <row r="98" spans="1:3" x14ac:dyDescent="0.35">
      <c r="A98" t="s">
        <v>97</v>
      </c>
      <c r="B98" t="s">
        <v>281</v>
      </c>
    </row>
    <row r="99" spans="1:3" x14ac:dyDescent="0.35">
      <c r="B99" s="123" t="s">
        <v>221</v>
      </c>
    </row>
    <row r="100" spans="1:3" x14ac:dyDescent="0.35">
      <c r="B100" s="123" t="s">
        <v>222</v>
      </c>
    </row>
    <row r="101" spans="1:3" x14ac:dyDescent="0.35">
      <c r="B101" s="171" t="s">
        <v>243</v>
      </c>
      <c r="C101" s="134"/>
    </row>
    <row r="102" spans="1:3" x14ac:dyDescent="0.35">
      <c r="B102" s="171" t="s">
        <v>223</v>
      </c>
      <c r="C102" s="134"/>
    </row>
    <row r="103" spans="1:3" x14ac:dyDescent="0.35">
      <c r="B103" t="s">
        <v>142</v>
      </c>
    </row>
    <row r="104" spans="1:3" ht="15" thickBot="1" x14ac:dyDescent="0.4">
      <c r="B104" t="s">
        <v>143</v>
      </c>
    </row>
    <row r="105" spans="1:3" ht="15" thickBot="1" x14ac:dyDescent="0.4">
      <c r="B105" s="133" t="s">
        <v>145</v>
      </c>
      <c r="C105" s="133"/>
    </row>
    <row r="106" spans="1:3" x14ac:dyDescent="0.35">
      <c r="B106" t="s">
        <v>139</v>
      </c>
    </row>
    <row r="107" spans="1:3" x14ac:dyDescent="0.35">
      <c r="B107" s="172" t="s">
        <v>140</v>
      </c>
      <c r="C107" s="135"/>
    </row>
    <row r="108" spans="1:3" x14ac:dyDescent="0.35">
      <c r="B108" s="172" t="s">
        <v>144</v>
      </c>
      <c r="C108" s="135"/>
    </row>
    <row r="109" spans="1:3" ht="15" thickBot="1" x14ac:dyDescent="0.4">
      <c r="B109" s="172" t="s">
        <v>141</v>
      </c>
      <c r="C109" s="135"/>
    </row>
    <row r="110" spans="1:3" ht="15" thickBot="1" x14ac:dyDescent="0.4">
      <c r="B110" s="133" t="s">
        <v>173</v>
      </c>
      <c r="C110" s="133"/>
    </row>
    <row r="111" spans="1:3" x14ac:dyDescent="0.35">
      <c r="B111" s="65"/>
      <c r="C111" s="65"/>
    </row>
    <row r="113" spans="1:3" x14ac:dyDescent="0.35">
      <c r="A113" t="s">
        <v>121</v>
      </c>
      <c r="B113" t="s">
        <v>260</v>
      </c>
    </row>
    <row r="114" spans="1:3" x14ac:dyDescent="0.35">
      <c r="B114" s="135" t="s">
        <v>147</v>
      </c>
    </row>
    <row r="116" spans="1:3" x14ac:dyDescent="0.35">
      <c r="A116" t="s">
        <v>124</v>
      </c>
      <c r="B116" t="s">
        <v>148</v>
      </c>
    </row>
    <row r="117" spans="1:3" x14ac:dyDescent="0.35">
      <c r="B117" s="171" t="s">
        <v>282</v>
      </c>
      <c r="C117" s="134"/>
    </row>
    <row r="118" spans="1:3" x14ac:dyDescent="0.35">
      <c r="B118" s="171" t="s">
        <v>149</v>
      </c>
      <c r="C118" s="134"/>
    </row>
    <row r="119" spans="1:3" x14ac:dyDescent="0.35">
      <c r="B119" s="171" t="s">
        <v>150</v>
      </c>
      <c r="C119" s="134"/>
    </row>
    <row r="120" spans="1:3" x14ac:dyDescent="0.35">
      <c r="B120" t="s">
        <v>292</v>
      </c>
    </row>
    <row r="121" spans="1:3" x14ac:dyDescent="0.35">
      <c r="B121" t="s">
        <v>151</v>
      </c>
    </row>
    <row r="122" spans="1:3" ht="15" thickBot="1" x14ac:dyDescent="0.4">
      <c r="B122" t="s">
        <v>152</v>
      </c>
    </row>
    <row r="123" spans="1:3" ht="15" thickBot="1" x14ac:dyDescent="0.4">
      <c r="B123" s="133" t="s">
        <v>153</v>
      </c>
      <c r="C123" s="133"/>
    </row>
    <row r="125" spans="1:3" x14ac:dyDescent="0.35">
      <c r="A125" s="123" t="s">
        <v>110</v>
      </c>
      <c r="B125" s="134" t="s">
        <v>284</v>
      </c>
      <c r="C125" s="134"/>
    </row>
    <row r="126" spans="1:3" x14ac:dyDescent="0.35">
      <c r="B126" t="s">
        <v>264</v>
      </c>
    </row>
    <row r="127" spans="1:3" x14ac:dyDescent="0.35">
      <c r="B127" t="s">
        <v>154</v>
      </c>
    </row>
    <row r="128" spans="1:3" ht="15" thickBot="1" x14ac:dyDescent="0.4">
      <c r="B128" t="s">
        <v>283</v>
      </c>
    </row>
    <row r="129" spans="1:3" ht="15" thickBot="1" x14ac:dyDescent="0.4">
      <c r="B129" s="133" t="s">
        <v>155</v>
      </c>
      <c r="C129" s="133"/>
    </row>
    <row r="131" spans="1:3" x14ac:dyDescent="0.35">
      <c r="A131" t="s">
        <v>286</v>
      </c>
      <c r="B131" t="s">
        <v>188</v>
      </c>
    </row>
    <row r="132" spans="1:3" x14ac:dyDescent="0.35">
      <c r="B132" t="s">
        <v>190</v>
      </c>
    </row>
    <row r="133" spans="1:3" x14ac:dyDescent="0.35">
      <c r="B133" t="s">
        <v>189</v>
      </c>
    </row>
    <row r="134" spans="1:3" x14ac:dyDescent="0.35">
      <c r="B134" t="s">
        <v>248</v>
      </c>
    </row>
    <row r="135" spans="1:3" x14ac:dyDescent="0.35">
      <c r="B135" t="s">
        <v>191</v>
      </c>
    </row>
    <row r="136" spans="1:3" x14ac:dyDescent="0.35">
      <c r="B136" t="s">
        <v>261</v>
      </c>
    </row>
    <row r="137" spans="1:3" x14ac:dyDescent="0.35">
      <c r="B137" t="s">
        <v>262</v>
      </c>
    </row>
    <row r="138" spans="1:3" x14ac:dyDescent="0.35">
      <c r="B138" t="s">
        <v>197</v>
      </c>
    </row>
    <row r="139" spans="1:3" x14ac:dyDescent="0.35">
      <c r="B139" t="s">
        <v>198</v>
      </c>
    </row>
    <row r="140" spans="1:3" x14ac:dyDescent="0.35">
      <c r="B140" t="s">
        <v>199</v>
      </c>
    </row>
    <row r="141" spans="1:3" x14ac:dyDescent="0.35">
      <c r="B141" t="s">
        <v>200</v>
      </c>
    </row>
    <row r="142" spans="1:3" x14ac:dyDescent="0.35">
      <c r="B142" t="s">
        <v>201</v>
      </c>
    </row>
    <row r="143" spans="1:3" x14ac:dyDescent="0.35">
      <c r="B143" t="s">
        <v>202</v>
      </c>
    </row>
    <row r="144" spans="1:3" x14ac:dyDescent="0.35">
      <c r="B144" t="s">
        <v>203</v>
      </c>
    </row>
    <row r="145" spans="1:2" x14ac:dyDescent="0.35">
      <c r="B145" t="s">
        <v>263</v>
      </c>
    </row>
    <row r="146" spans="1:2" x14ac:dyDescent="0.35">
      <c r="B146" s="7" t="s">
        <v>226</v>
      </c>
    </row>
    <row r="147" spans="1:2" x14ac:dyDescent="0.35">
      <c r="B147" s="7" t="s">
        <v>224</v>
      </c>
    </row>
    <row r="148" spans="1:2" x14ac:dyDescent="0.35">
      <c r="B148" s="7" t="s">
        <v>194</v>
      </c>
    </row>
    <row r="149" spans="1:2" x14ac:dyDescent="0.35">
      <c r="B149" s="7" t="s">
        <v>266</v>
      </c>
    </row>
    <row r="150" spans="1:2" x14ac:dyDescent="0.35">
      <c r="B150" s="7" t="s">
        <v>268</v>
      </c>
    </row>
    <row r="151" spans="1:2" x14ac:dyDescent="0.35">
      <c r="B151" s="7" t="s">
        <v>267</v>
      </c>
    </row>
    <row r="152" spans="1:2" x14ac:dyDescent="0.35">
      <c r="B152" s="7" t="s">
        <v>293</v>
      </c>
    </row>
    <row r="153" spans="1:2" x14ac:dyDescent="0.35">
      <c r="B153" s="7" t="s">
        <v>269</v>
      </c>
    </row>
    <row r="154" spans="1:2" x14ac:dyDescent="0.35">
      <c r="B154" s="7" t="s">
        <v>270</v>
      </c>
    </row>
    <row r="155" spans="1:2" x14ac:dyDescent="0.35">
      <c r="B155" s="7" t="s">
        <v>287</v>
      </c>
    </row>
    <row r="157" spans="1:2" x14ac:dyDescent="0.35">
      <c r="A157" t="s">
        <v>98</v>
      </c>
      <c r="B157" t="s">
        <v>186</v>
      </c>
    </row>
    <row r="158" spans="1:2" x14ac:dyDescent="0.35">
      <c r="B158" t="s">
        <v>252</v>
      </c>
    </row>
    <row r="159" spans="1:2" x14ac:dyDescent="0.35">
      <c r="B159" t="s">
        <v>249</v>
      </c>
    </row>
    <row r="160" spans="1:2" x14ac:dyDescent="0.35">
      <c r="B160" t="s">
        <v>251</v>
      </c>
    </row>
    <row r="161" spans="1:2" x14ac:dyDescent="0.35">
      <c r="B161" t="s">
        <v>341</v>
      </c>
    </row>
    <row r="162" spans="1:2" x14ac:dyDescent="0.35">
      <c r="B162" t="s">
        <v>342</v>
      </c>
    </row>
    <row r="163" spans="1:2" x14ac:dyDescent="0.35">
      <c r="B163" t="s">
        <v>250</v>
      </c>
    </row>
    <row r="165" spans="1:2" x14ac:dyDescent="0.35">
      <c r="A165" t="s">
        <v>234</v>
      </c>
      <c r="B165" t="s">
        <v>265</v>
      </c>
    </row>
    <row r="166" spans="1:2" x14ac:dyDescent="0.35">
      <c r="B166" t="s">
        <v>285</v>
      </c>
    </row>
    <row r="167" spans="1:2" x14ac:dyDescent="0.35">
      <c r="B167" t="s">
        <v>167</v>
      </c>
    </row>
    <row r="168" spans="1:2" x14ac:dyDescent="0.35">
      <c r="B168" t="s">
        <v>271</v>
      </c>
    </row>
    <row r="169" spans="1:2" x14ac:dyDescent="0.35">
      <c r="B169" t="s">
        <v>161</v>
      </c>
    </row>
    <row r="170" spans="1:2" x14ac:dyDescent="0.35">
      <c r="B170" t="s">
        <v>162</v>
      </c>
    </row>
    <row r="172" spans="1:2" x14ac:dyDescent="0.35">
      <c r="A172" t="s">
        <v>99</v>
      </c>
      <c r="B172" t="s">
        <v>195</v>
      </c>
    </row>
    <row r="173" spans="1:2" x14ac:dyDescent="0.35">
      <c r="B173" t="s">
        <v>272</v>
      </c>
    </row>
    <row r="174" spans="1:2" x14ac:dyDescent="0.35">
      <c r="B174" t="s">
        <v>196</v>
      </c>
    </row>
    <row r="175" spans="1:2" x14ac:dyDescent="0.35">
      <c r="B175" t="s">
        <v>225</v>
      </c>
    </row>
  </sheetData>
  <pageMargins left="0.7" right="0.7" top="0.75" bottom="0.75" header="0.3" footer="0.3"/>
  <pageSetup scale="26" orientation="portrait" r:id="rId1"/>
  <drawing r:id="rId2"/>
</worksheet>
</file>

<file path=docMetadata/LabelInfo.xml><?xml version="1.0" encoding="utf-8"?>
<clbl:labelList xmlns:clbl="http://schemas.microsoft.com/office/2020/mipLabelMetadata">
  <clbl:label id="{fed13d9f-21df-485d-909a-231f3c6d16f0}" enabled="0" method="" siteId="{fed13d9f-21df-485d-909a-231f3c6d16f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Inndata</vt:lpstr>
      <vt:lpstr>Kostnadsfordeling</vt:lpstr>
      <vt:lpstr>Satser</vt:lpstr>
      <vt:lpstr>Oppsummering</vt:lpstr>
      <vt:lpstr>Oppsummering grafisk</vt:lpstr>
      <vt:lpstr>Dokumentasjon</vt:lpstr>
    </vt:vector>
  </TitlesOfParts>
  <Company>Universitetet i Oslo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Kjell Heitmann</dc:creator>
  <cp:lastModifiedBy>Per Arne Skjelvik</cp:lastModifiedBy>
  <cp:lastPrinted>2023-03-01T19:49:49Z</cp:lastPrinted>
  <dcterms:created xsi:type="dcterms:W3CDTF">2022-01-13T15:40:40Z</dcterms:created>
  <dcterms:modified xsi:type="dcterms:W3CDTF">2023-12-03T18:59:49Z</dcterms:modified>
</cp:coreProperties>
</file>