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\Documents\"/>
    </mc:Choice>
  </mc:AlternateContent>
  <xr:revisionPtr revIDLastSave="0" documentId="13_ncr:1_{F4567B4B-1B49-40D2-8E85-95BB3A06F8D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al beregning" sheetId="1" r:id="rId1"/>
    <sheet name="Faktorer" sheetId="4" r:id="rId2"/>
    <sheet name="HE pr. 29.03." sheetId="5" r:id="rId3"/>
    <sheet name="Årsverk pr. 29.03." sheetId="6" r:id="rId4"/>
    <sheet name="Sammenligning 2020-2021 V" sheetId="7" r:id="rId5"/>
  </sheets>
  <definedNames>
    <definedName name="_xlnm._FilterDatabase" localSheetId="0" hidden="1">'Mal beregning'!$A$1:$AA$33</definedName>
    <definedName name="_xlnm._FilterDatabase" localSheetId="4" hidden="1">'Sammenligning 2020-2021 V'!$A$1:$T$33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7" l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2" i="7"/>
  <c r="R3" i="7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2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T20" i="7" s="1"/>
  <c r="P21" i="7"/>
  <c r="T21" i="7" s="1"/>
  <c r="P22" i="7"/>
  <c r="T22" i="7" s="1"/>
  <c r="P23" i="7"/>
  <c r="T23" i="7" s="1"/>
  <c r="P24" i="7"/>
  <c r="P25" i="7"/>
  <c r="P26" i="7"/>
  <c r="P27" i="7"/>
  <c r="P28" i="7"/>
  <c r="P29" i="7"/>
  <c r="P30" i="7"/>
  <c r="P31" i="7"/>
  <c r="P32" i="7"/>
  <c r="T32" i="7" s="1"/>
  <c r="P33" i="7"/>
  <c r="T33" i="7" s="1"/>
  <c r="P2" i="7"/>
  <c r="T2" i="7" s="1"/>
  <c r="K34" i="7"/>
  <c r="L3" i="7"/>
  <c r="O3" i="7" s="1"/>
  <c r="L4" i="7"/>
  <c r="O4" i="7" s="1"/>
  <c r="L5" i="7"/>
  <c r="N5" i="7" s="1"/>
  <c r="L6" i="7"/>
  <c r="N6" i="7" s="1"/>
  <c r="L7" i="7"/>
  <c r="N7" i="7" s="1"/>
  <c r="L8" i="7"/>
  <c r="O8" i="7" s="1"/>
  <c r="L9" i="7"/>
  <c r="O9" i="7" s="1"/>
  <c r="L10" i="7"/>
  <c r="O10" i="7" s="1"/>
  <c r="L11" i="7"/>
  <c r="O11" i="7" s="1"/>
  <c r="L12" i="7"/>
  <c r="O12" i="7" s="1"/>
  <c r="L13" i="7"/>
  <c r="O13" i="7" s="1"/>
  <c r="L14" i="7"/>
  <c r="O14" i="7" s="1"/>
  <c r="L15" i="7"/>
  <c r="O15" i="7" s="1"/>
  <c r="L16" i="7"/>
  <c r="O16" i="7" s="1"/>
  <c r="L17" i="7"/>
  <c r="N17" i="7" s="1"/>
  <c r="L18" i="7"/>
  <c r="N18" i="7" s="1"/>
  <c r="L19" i="7"/>
  <c r="O19" i="7" s="1"/>
  <c r="L20" i="7"/>
  <c r="O20" i="7" s="1"/>
  <c r="L21" i="7"/>
  <c r="O21" i="7" s="1"/>
  <c r="L22" i="7"/>
  <c r="N22" i="7" s="1"/>
  <c r="L23" i="7"/>
  <c r="N23" i="7" s="1"/>
  <c r="L24" i="7"/>
  <c r="N24" i="7" s="1"/>
  <c r="L25" i="7"/>
  <c r="O25" i="7" s="1"/>
  <c r="L26" i="7"/>
  <c r="O26" i="7" s="1"/>
  <c r="L27" i="7"/>
  <c r="O27" i="7" s="1"/>
  <c r="L28" i="7"/>
  <c r="O28" i="7" s="1"/>
  <c r="L29" i="7"/>
  <c r="N29" i="7" s="1"/>
  <c r="L30" i="7"/>
  <c r="N30" i="7" s="1"/>
  <c r="L31" i="7"/>
  <c r="N31" i="7" s="1"/>
  <c r="L32" i="7"/>
  <c r="N32" i="7" s="1"/>
  <c r="L33" i="7"/>
  <c r="N33" i="7" s="1"/>
  <c r="L2" i="7"/>
  <c r="N2" i="7" s="1"/>
  <c r="T28" i="7" l="1"/>
  <c r="T16" i="7"/>
  <c r="M30" i="7"/>
  <c r="M18" i="7"/>
  <c r="M6" i="7"/>
  <c r="M29" i="7"/>
  <c r="S2" i="7"/>
  <c r="S33" i="7"/>
  <c r="S18" i="7"/>
  <c r="S6" i="7"/>
  <c r="S29" i="7"/>
  <c r="S17" i="7"/>
  <c r="S5" i="7"/>
  <c r="S4" i="7"/>
  <c r="N21" i="7"/>
  <c r="T27" i="7"/>
  <c r="T15" i="7"/>
  <c r="T3" i="7"/>
  <c r="N16" i="7"/>
  <c r="R34" i="7"/>
  <c r="S23" i="7" s="1"/>
  <c r="N14" i="7"/>
  <c r="T25" i="7"/>
  <c r="N11" i="7"/>
  <c r="O24" i="7"/>
  <c r="O23" i="7"/>
  <c r="O22" i="7"/>
  <c r="S28" i="7"/>
  <c r="S15" i="7"/>
  <c r="Q3" i="7"/>
  <c r="O33" i="7"/>
  <c r="T4" i="7"/>
  <c r="N15" i="7"/>
  <c r="T26" i="7"/>
  <c r="T14" i="7"/>
  <c r="T13" i="7"/>
  <c r="P34" i="7"/>
  <c r="Q31" i="7" s="1"/>
  <c r="Q23" i="7"/>
  <c r="N13" i="7"/>
  <c r="T24" i="7"/>
  <c r="T12" i="7"/>
  <c r="N12" i="7"/>
  <c r="T11" i="7"/>
  <c r="N28" i="7"/>
  <c r="T10" i="7"/>
  <c r="N26" i="7"/>
  <c r="N10" i="7"/>
  <c r="T9" i="7"/>
  <c r="L34" i="7"/>
  <c r="M33" i="7" s="1"/>
  <c r="N25" i="7"/>
  <c r="N9" i="7"/>
  <c r="T8" i="7"/>
  <c r="N4" i="7"/>
  <c r="T31" i="7"/>
  <c r="T19" i="7"/>
  <c r="T7" i="7"/>
  <c r="N3" i="7"/>
  <c r="T30" i="7"/>
  <c r="T18" i="7"/>
  <c r="T6" i="7"/>
  <c r="O2" i="7"/>
  <c r="T29" i="7"/>
  <c r="T17" i="7"/>
  <c r="T5" i="7"/>
  <c r="N27" i="7"/>
  <c r="O32" i="7"/>
  <c r="O31" i="7"/>
  <c r="O7" i="7"/>
  <c r="O18" i="7"/>
  <c r="O29" i="7"/>
  <c r="O17" i="7"/>
  <c r="O5" i="7"/>
  <c r="N20" i="7"/>
  <c r="N8" i="7"/>
  <c r="N19" i="7"/>
  <c r="O30" i="7"/>
  <c r="O6" i="7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C5" i="1"/>
  <c r="E6" i="1"/>
  <c r="E14" i="1"/>
  <c r="E26" i="1"/>
  <c r="F26" i="1" s="1"/>
  <c r="D3" i="1"/>
  <c r="E3" i="1" s="1"/>
  <c r="D4" i="1"/>
  <c r="E4" i="1" s="1"/>
  <c r="D5" i="1"/>
  <c r="E5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2" i="1"/>
  <c r="E2" i="1" s="1"/>
  <c r="C3" i="1"/>
  <c r="C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2" i="1"/>
  <c r="M21" i="7" l="1"/>
  <c r="M10" i="7"/>
  <c r="M22" i="7"/>
  <c r="S24" i="7"/>
  <c r="S8" i="7"/>
  <c r="M14" i="7"/>
  <c r="M26" i="7"/>
  <c r="M11" i="7"/>
  <c r="M2" i="7"/>
  <c r="M23" i="7"/>
  <c r="M4" i="7"/>
  <c r="M8" i="7"/>
  <c r="M25" i="7"/>
  <c r="M12" i="7"/>
  <c r="M15" i="7"/>
  <c r="M27" i="7"/>
  <c r="S21" i="7"/>
  <c r="M28" i="7"/>
  <c r="M32" i="7"/>
  <c r="M24" i="7"/>
  <c r="M3" i="7"/>
  <c r="M19" i="7"/>
  <c r="M16" i="7"/>
  <c r="S22" i="7"/>
  <c r="M5" i="7"/>
  <c r="M13" i="7"/>
  <c r="M7" i="7"/>
  <c r="M31" i="7"/>
  <c r="M20" i="7"/>
  <c r="Q24" i="7"/>
  <c r="M17" i="7"/>
  <c r="M9" i="7"/>
  <c r="Q32" i="7"/>
  <c r="Q15" i="7"/>
  <c r="Q20" i="7"/>
  <c r="Q29" i="7"/>
  <c r="Q9" i="7"/>
  <c r="Q6" i="7"/>
  <c r="Q10" i="7"/>
  <c r="S26" i="7"/>
  <c r="S14" i="7"/>
  <c r="S13" i="7"/>
  <c r="S25" i="7"/>
  <c r="S30" i="7"/>
  <c r="S20" i="7"/>
  <c r="Q22" i="7"/>
  <c r="S3" i="7"/>
  <c r="S7" i="7"/>
  <c r="S9" i="7"/>
  <c r="Q11" i="7"/>
  <c r="Q2" i="7"/>
  <c r="Q7" i="7"/>
  <c r="S19" i="7"/>
  <c r="S11" i="7"/>
  <c r="S27" i="7"/>
  <c r="S31" i="7"/>
  <c r="Q19" i="7"/>
  <c r="S12" i="7"/>
  <c r="S16" i="7"/>
  <c r="S32" i="7"/>
  <c r="S10" i="7"/>
  <c r="Q25" i="7"/>
  <c r="Q13" i="7"/>
  <c r="Q28" i="7"/>
  <c r="Q12" i="7"/>
  <c r="Q14" i="7"/>
  <c r="Q21" i="7"/>
  <c r="Q26" i="7"/>
  <c r="Q5" i="7"/>
  <c r="Q33" i="7"/>
  <c r="Q27" i="7"/>
  <c r="Q16" i="7"/>
  <c r="Q8" i="7"/>
  <c r="Q4" i="7"/>
  <c r="Q17" i="7"/>
  <c r="N34" i="7"/>
  <c r="Q30" i="7"/>
  <c r="Q18" i="7"/>
  <c r="F24" i="1"/>
  <c r="F14" i="1"/>
  <c r="F12" i="1"/>
  <c r="F15" i="1"/>
  <c r="F3" i="1"/>
  <c r="F16" i="1"/>
  <c r="F27" i="1"/>
  <c r="F4" i="1"/>
  <c r="F28" i="1"/>
  <c r="F11" i="1"/>
  <c r="F13" i="1"/>
  <c r="F22" i="1"/>
  <c r="F10" i="1"/>
  <c r="F25" i="1"/>
  <c r="F23" i="1"/>
  <c r="F33" i="1"/>
  <c r="F21" i="1"/>
  <c r="F9" i="1"/>
  <c r="F32" i="1"/>
  <c r="F20" i="1"/>
  <c r="F8" i="1"/>
  <c r="F31" i="1"/>
  <c r="F19" i="1"/>
  <c r="F7" i="1"/>
  <c r="F30" i="1"/>
  <c r="F18" i="1"/>
  <c r="F6" i="1"/>
  <c r="F29" i="1"/>
  <c r="F17" i="1"/>
  <c r="F5" i="1"/>
  <c r="F2" i="1"/>
  <c r="B4" i="4" l="1"/>
  <c r="J28" i="1" s="1"/>
  <c r="K28" i="1" s="1"/>
  <c r="J32" i="1"/>
  <c r="K32" i="1" s="1"/>
  <c r="J30" i="1" l="1"/>
  <c r="K30" i="1" s="1"/>
  <c r="J22" i="1"/>
  <c r="K22" i="1" s="1"/>
  <c r="G2" i="1"/>
  <c r="J2" i="1" s="1"/>
  <c r="K2" i="1" s="1"/>
  <c r="J12" i="1"/>
  <c r="K12" i="1" s="1"/>
  <c r="J4" i="1"/>
  <c r="K4" i="1" s="1"/>
  <c r="J19" i="1"/>
  <c r="K19" i="1" s="1"/>
  <c r="J23" i="1"/>
  <c r="K23" i="1" s="1"/>
  <c r="J17" i="1"/>
  <c r="K17" i="1" s="1"/>
  <c r="J33" i="1"/>
  <c r="K33" i="1" s="1"/>
  <c r="J20" i="1"/>
  <c r="K20" i="1" s="1"/>
  <c r="J16" i="1"/>
  <c r="K16" i="1" s="1"/>
  <c r="J3" i="1"/>
  <c r="K3" i="1" s="1"/>
  <c r="J11" i="1"/>
  <c r="K11" i="1" s="1"/>
  <c r="J26" i="1"/>
  <c r="K26" i="1" s="1"/>
  <c r="J24" i="1"/>
  <c r="K24" i="1" s="1"/>
  <c r="J6" i="1"/>
  <c r="K6" i="1" s="1"/>
  <c r="J5" i="1"/>
  <c r="K5" i="1" s="1"/>
  <c r="J29" i="1"/>
  <c r="K29" i="1" s="1"/>
  <c r="J8" i="1"/>
  <c r="K8" i="1" s="1"/>
  <c r="J9" i="1"/>
  <c r="K9" i="1" s="1"/>
  <c r="J14" i="1"/>
  <c r="K14" i="1" s="1"/>
  <c r="J10" i="1"/>
  <c r="K10" i="1" s="1"/>
  <c r="J25" i="1"/>
  <c r="K25" i="1" s="1"/>
  <c r="J13" i="1"/>
  <c r="K13" i="1" s="1"/>
  <c r="J15" i="1"/>
  <c r="K15" i="1" s="1"/>
  <c r="J27" i="1"/>
  <c r="K27" i="1" s="1"/>
  <c r="B5" i="4"/>
  <c r="J7" i="1"/>
  <c r="K7" i="1" s="1"/>
  <c r="J21" i="1"/>
  <c r="K21" i="1" s="1"/>
  <c r="J18" i="1"/>
  <c r="K18" i="1" s="1"/>
  <c r="J31" i="1"/>
  <c r="K31" i="1" s="1"/>
</calcChain>
</file>

<file path=xl/sharedStrings.xml><?xml version="1.0" encoding="utf-8"?>
<sst xmlns="http://schemas.openxmlformats.org/spreadsheetml/2006/main" count="559" uniqueCount="213">
  <si>
    <t>Kundenr</t>
  </si>
  <si>
    <t>Navn</t>
  </si>
  <si>
    <t>Antall</t>
  </si>
  <si>
    <t>Volum</t>
  </si>
  <si>
    <t>Pris</t>
  </si>
  <si>
    <t>Vederlag</t>
  </si>
  <si>
    <t>Enhet</t>
  </si>
  <si>
    <t>NesteDato</t>
  </si>
  <si>
    <t>Tekst</t>
  </si>
  <si>
    <t>Contact_id</t>
  </si>
  <si>
    <t>Gr3</t>
  </si>
  <si>
    <t>Orgnr</t>
  </si>
  <si>
    <t>Status</t>
  </si>
  <si>
    <t>Dato</t>
  </si>
  <si>
    <t>UndertegnetAv</t>
  </si>
  <si>
    <t>Capita</t>
  </si>
  <si>
    <t>Kommentar</t>
  </si>
  <si>
    <t>Medlem</t>
  </si>
  <si>
    <t>Type</t>
  </si>
  <si>
    <t>Gruppe</t>
  </si>
  <si>
    <t>Relasjon</t>
  </si>
  <si>
    <t>Kredittsperre</t>
  </si>
  <si>
    <t/>
  </si>
  <si>
    <t>Ansgar teologiske høgskole</t>
  </si>
  <si>
    <t>989205544</t>
  </si>
  <si>
    <t>Ingunn Breistein</t>
  </si>
  <si>
    <t>Admansv. Øyvind Skjegstad</t>
  </si>
  <si>
    <t>UHR</t>
  </si>
  <si>
    <t>Mønster</t>
  </si>
  <si>
    <t>Private høyskoler</t>
  </si>
  <si>
    <t>Arkitektur- og designhøgskolen i Oslo</t>
  </si>
  <si>
    <t>971526378</t>
  </si>
  <si>
    <t>Helga Hyldmo Rawes</t>
  </si>
  <si>
    <t>Adm.ansv. Helga Hyldmo Rawes</t>
  </si>
  <si>
    <t>Vitenskapelige høyskoler</t>
  </si>
  <si>
    <t>Dronning Mauds Minne Høgskole</t>
  </si>
  <si>
    <t>971574747</t>
  </si>
  <si>
    <t>Geir Inge LIen</t>
  </si>
  <si>
    <t>(admansv Geir Inge Lien)</t>
  </si>
  <si>
    <t>Fjellhaug internasjonale Høgskole</t>
  </si>
  <si>
    <t>914086434</t>
  </si>
  <si>
    <t>Frank Ole Thoresen</t>
  </si>
  <si>
    <t>(admansv Tome Erik Hamre)</t>
  </si>
  <si>
    <t>Forsvarets høgskole</t>
  </si>
  <si>
    <t>995967219</t>
  </si>
  <si>
    <t>Henning A. Frantzen</t>
  </si>
  <si>
    <t>Admansv. Inger Brøgger Bull</t>
  </si>
  <si>
    <t>Statlige høyskoler</t>
  </si>
  <si>
    <t>Konsern - datter</t>
  </si>
  <si>
    <t>HANDELSHØYSKOLEN BI</t>
  </si>
  <si>
    <t>971228865</t>
  </si>
  <si>
    <t>Dagmar Langeggen</t>
  </si>
  <si>
    <t>Adm.ansv.: Dagar Langeggen</t>
  </si>
  <si>
    <t>Høgskolen i Innlandet</t>
  </si>
  <si>
    <t>918108467</t>
  </si>
  <si>
    <t>Jan Aasen</t>
  </si>
  <si>
    <t>(admansv.Halvor Gillsund Knudsen)</t>
  </si>
  <si>
    <t>Høgskolen i Molde</t>
  </si>
  <si>
    <t>971555483</t>
  </si>
  <si>
    <t>Gerd Marit Langøy</t>
  </si>
  <si>
    <t>Admansv. Timo Brøyn</t>
  </si>
  <si>
    <t>Høgskolen i Østfold</t>
  </si>
  <si>
    <t>971567376</t>
  </si>
  <si>
    <t>Karl Morten Gjeldnes</t>
  </si>
  <si>
    <t>Adm.ansv. Jan Lorang Brynhildsen</t>
  </si>
  <si>
    <t>Høgskulen i Volda</t>
  </si>
  <si>
    <t>974809672</t>
  </si>
  <si>
    <t>Karen L. jacobsen</t>
  </si>
  <si>
    <t>Adm.ansv. marit vartdal Engeset</t>
  </si>
  <si>
    <t>Høgskulen på Vestlandet</t>
  </si>
  <si>
    <t>917641404</t>
  </si>
  <si>
    <t>Berit Rokne</t>
  </si>
  <si>
    <t>Høyskolen Kristiania</t>
  </si>
  <si>
    <t>954831604</t>
  </si>
  <si>
    <t>Hilah Geer</t>
  </si>
  <si>
    <t>Adm.ansv. Live Vikøren</t>
  </si>
  <si>
    <t>KUNSTHØGSKOLEN I OSLO</t>
  </si>
  <si>
    <t>977027233</t>
  </si>
  <si>
    <t>Pål Stephensen</t>
  </si>
  <si>
    <t>Adm.ansv. Merit Kristiansen Gudim</t>
  </si>
  <si>
    <t>LOVISENBERG DIAKONALE HØGSKOLE</t>
  </si>
  <si>
    <t>994881078</t>
  </si>
  <si>
    <t>Hallgeir LIen</t>
  </si>
  <si>
    <t>Adm.ansv. Sara Clarke</t>
  </si>
  <si>
    <t>MF vitenskapelig høyskole</t>
  </si>
  <si>
    <t>917387079</t>
  </si>
  <si>
    <t>Vidar L. Haanes</t>
  </si>
  <si>
    <t>Adm.ansv.: Hanne S. Ofteland</t>
  </si>
  <si>
    <t>NLA Høgskolen</t>
  </si>
  <si>
    <t>995189186</t>
  </si>
  <si>
    <t>Harald Ims</t>
  </si>
  <si>
    <t>Admansv.</t>
  </si>
  <si>
    <t>Nord universitet</t>
  </si>
  <si>
    <t>970940243</t>
  </si>
  <si>
    <t>Per Arne Sjhelvik</t>
  </si>
  <si>
    <t>Admansv.. Hege Vatne Arntsen</t>
  </si>
  <si>
    <t>Universitet</t>
  </si>
  <si>
    <t>NORGES HANDELSHØYSKOLE</t>
  </si>
  <si>
    <t>974789523</t>
  </si>
  <si>
    <t>Øystein Thøgersen</t>
  </si>
  <si>
    <t>Admansv. Kari Fjose</t>
  </si>
  <si>
    <t>Norges idrettshøgskole</t>
  </si>
  <si>
    <t>971526033</t>
  </si>
  <si>
    <t>Lise Sofie Woie</t>
  </si>
  <si>
    <t>Adm.ansv. Grethe Nilsen</t>
  </si>
  <si>
    <t>Norges miljø- og biovitenskaplige univ.</t>
  </si>
  <si>
    <t>969159570</t>
  </si>
  <si>
    <t>Ragnhild Solheim</t>
  </si>
  <si>
    <t>Admansv. Geir Arne Rosvoll</t>
  </si>
  <si>
    <t>Norges musikkhøgskole</t>
  </si>
  <si>
    <t>974761106</t>
  </si>
  <si>
    <t>Tove Blix</t>
  </si>
  <si>
    <t>(admansv. Johan A.S. Jørgensen)</t>
  </si>
  <si>
    <t>Norsk barnebokinstitutt</t>
  </si>
  <si>
    <t>NTNU, Norges teknisk-naturvitenskapelige</t>
  </si>
  <si>
    <t>974767880</t>
  </si>
  <si>
    <t>Rune Brandshaug</t>
  </si>
  <si>
    <t>Admansv. Rune Brandshaug</t>
  </si>
  <si>
    <t>OsloMET- storbyuniversitetet</t>
  </si>
  <si>
    <t>997058925</t>
  </si>
  <si>
    <t>Lars Egelend</t>
  </si>
  <si>
    <t>Adm.ansv. Lars Egeland</t>
  </si>
  <si>
    <t>Politihøgskolen</t>
  </si>
  <si>
    <t>974761017</t>
  </si>
  <si>
    <t>Morten Olav Brenden</t>
  </si>
  <si>
    <t>Admansv. Bodil Stabell Haug</t>
  </si>
  <si>
    <t>SAMISK HØGSKOLE</t>
  </si>
  <si>
    <t>971519363</t>
  </si>
  <si>
    <t>Svein Erik Hætta</t>
  </si>
  <si>
    <t>Admansv. Johan  Ailo Kalstad</t>
  </si>
  <si>
    <t>UiT Norges arktiske universitet</t>
  </si>
  <si>
    <t>970422528</t>
  </si>
  <si>
    <t>Jørgen Fossland</t>
  </si>
  <si>
    <t>Adm.ansv. Bengt Øieroset</t>
  </si>
  <si>
    <t>UNIVERSITETET I AGDER</t>
  </si>
  <si>
    <t>970546200</t>
  </si>
  <si>
    <t>Seunn Smith-Tønnesen</t>
  </si>
  <si>
    <t>Adm.ansv. Kristian Jørgensen</t>
  </si>
  <si>
    <t>UNIVERSITETET I BERGEN</t>
  </si>
  <si>
    <t>874789542</t>
  </si>
  <si>
    <t>Per Arne Foshaug</t>
  </si>
  <si>
    <t>Adm.ansv. Per Arne Foshaug</t>
  </si>
  <si>
    <t>UNIVERSITETET I OSLO</t>
  </si>
  <si>
    <t>971035854</t>
  </si>
  <si>
    <t>Arne Benjaminsen</t>
  </si>
  <si>
    <t>Admans. Kristin Fossum Stene</t>
  </si>
  <si>
    <t>UNIVERSITETET I STAVANGER</t>
  </si>
  <si>
    <t>971564679</t>
  </si>
  <si>
    <t>Gitte Kolstrup</t>
  </si>
  <si>
    <t>Adm.ansv.: Gitte Kolstrup</t>
  </si>
  <si>
    <t>UNIVERSITETET I SØRØST-NORGE (USN)</t>
  </si>
  <si>
    <t>911770709</t>
  </si>
  <si>
    <t>Magne Tomren</t>
  </si>
  <si>
    <t>Admansv. Magne Tomren</t>
  </si>
  <si>
    <t>VID vitenskapelige høgskole AS</t>
  </si>
  <si>
    <t>915635520</t>
  </si>
  <si>
    <t>Marianne Brattland</t>
  </si>
  <si>
    <t>Admansv. Hilde Trygstad</t>
  </si>
  <si>
    <t>HE</t>
  </si>
  <si>
    <t>Årsverk</t>
  </si>
  <si>
    <t>Ansattefaktor</t>
  </si>
  <si>
    <t>Sum vederlag per 1/2 år</t>
  </si>
  <si>
    <t>Årsverk vektet</t>
  </si>
  <si>
    <t>Vektet vederlag</t>
  </si>
  <si>
    <t>Kopivederlag for 1. halvår 2021</t>
  </si>
  <si>
    <t>Faste variabler</t>
  </si>
  <si>
    <t>Sum vektet capita</t>
  </si>
  <si>
    <t>Institusjonsnavn</t>
  </si>
  <si>
    <t>Heltidsekvivalenter totalt</t>
  </si>
  <si>
    <t>Atlantis medisinske høgskole</t>
  </si>
  <si>
    <t>Bergen Arkitekthøgskole</t>
  </si>
  <si>
    <t>Fjellhaug Internasjonale Høgskole</t>
  </si>
  <si>
    <t>Handelshøyskolen BI</t>
  </si>
  <si>
    <t>Høgskulen for grøn utvikling</t>
  </si>
  <si>
    <t>Høyskolen for dansekunst</t>
  </si>
  <si>
    <t>Høyskolen for Ledelse og Teologi</t>
  </si>
  <si>
    <t>Høyskolen for yrkesfag AS</t>
  </si>
  <si>
    <t>Kriminalomsorgens høgskole og utdanningssenter KRUS</t>
  </si>
  <si>
    <t>Kunsthøgskolen i Oslo</t>
  </si>
  <si>
    <t>Lillehammer Institute of Music Production Industries</t>
  </si>
  <si>
    <t>Lovisenberg diakonale høgskole</t>
  </si>
  <si>
    <t>Nordland kunst- og filmfagskole</t>
  </si>
  <si>
    <t>Norges handelshøyskole</t>
  </si>
  <si>
    <t>Noroff</t>
  </si>
  <si>
    <t>Norsk gestaltinstitutt</t>
  </si>
  <si>
    <t>NSKI Høyskole</t>
  </si>
  <si>
    <t>Samisk høgskole</t>
  </si>
  <si>
    <t>Skrivekunstakademiet</t>
  </si>
  <si>
    <t>Steinerhøyskolen</t>
  </si>
  <si>
    <t>Universitetet i Agder</t>
  </si>
  <si>
    <t>Universitetet i Bergen</t>
  </si>
  <si>
    <t>Universitetet i Oslo</t>
  </si>
  <si>
    <t>Universitetet i Stavanger</t>
  </si>
  <si>
    <t>Sum</t>
  </si>
  <si>
    <t>Barratt Due Musikkinstitutt</t>
  </si>
  <si>
    <t>Benyttet fjorårets</t>
  </si>
  <si>
    <t>Ordrenr</t>
  </si>
  <si>
    <t>Linjenr</t>
  </si>
  <si>
    <t>Prodnr</t>
  </si>
  <si>
    <t>UH35</t>
  </si>
  <si>
    <t>DRONNING MAUDS MINNE HØGSKOLE</t>
  </si>
  <si>
    <t>2021-V</t>
  </si>
  <si>
    <t>Totalt vederlag 2020-V</t>
  </si>
  <si>
    <t>HE 2021-V</t>
  </si>
  <si>
    <t>Årsverk 2021-V</t>
  </si>
  <si>
    <t>Utlignet pris (bare info)</t>
  </si>
  <si>
    <t>Avvik vederlag</t>
  </si>
  <si>
    <t>Avvik %</t>
  </si>
  <si>
    <t>Årsverk/
HE</t>
  </si>
  <si>
    <t>Andel HE</t>
  </si>
  <si>
    <t>Andel  
årsverk</t>
  </si>
  <si>
    <t>Andel 
vederlag</t>
  </si>
  <si>
    <t>Økning
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</si>
</sst>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0.000"/>
    <numFmt numFmtId="165" formatCode="#,##0;\-#,##0;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CCFF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40" fontId="0" fillId="0" borderId="0" xfId="0" applyNumberFormat="1" applyAlignment="1">
      <alignment horizontal="right" vertical="center" wrapText="1"/>
    </xf>
    <xf numFmtId="22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38" fontId="0" fillId="0" borderId="0" xfId="0" applyNumberFormat="1"/>
    <xf numFmtId="38" fontId="0" fillId="0" borderId="0" xfId="0" applyNumberFormat="1" applyAlignment="1">
      <alignment horizontal="right" vertical="center" wrapText="1"/>
    </xf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40" fontId="0" fillId="0" borderId="0" xfId="0" applyNumberFormat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0" fontId="6" fillId="0" borderId="2" xfId="0" applyFont="1" applyBorder="1"/>
    <xf numFmtId="0" fontId="0" fillId="0" borderId="3" xfId="0" applyBorder="1"/>
    <xf numFmtId="0" fontId="5" fillId="0" borderId="4" xfId="0" applyFont="1" applyBorder="1"/>
    <xf numFmtId="3" fontId="5" fillId="0" borderId="5" xfId="0" applyNumberFormat="1" applyFont="1" applyBorder="1"/>
    <xf numFmtId="0" fontId="5" fillId="0" borderId="6" xfId="0" applyFont="1" applyBorder="1"/>
    <xf numFmtId="40" fontId="0" fillId="3" borderId="0" xfId="0" applyNumberFormat="1" applyFill="1" applyAlignment="1">
      <alignment horizontal="right" vertical="center" wrapText="1"/>
    </xf>
    <xf numFmtId="38" fontId="0" fillId="3" borderId="0" xfId="0" applyNumberFormat="1" applyFill="1" applyAlignment="1">
      <alignment horizontal="right" vertical="center" wrapText="1"/>
    </xf>
    <xf numFmtId="0" fontId="5" fillId="3" borderId="5" xfId="0" applyFont="1" applyFill="1" applyBorder="1"/>
    <xf numFmtId="3" fontId="5" fillId="3" borderId="5" xfId="0" applyNumberFormat="1" applyFont="1" applyFill="1" applyBorder="1"/>
    <xf numFmtId="164" fontId="5" fillId="3" borderId="7" xfId="0" applyNumberFormat="1" applyFont="1" applyFill="1" applyBorder="1"/>
    <xf numFmtId="0" fontId="7" fillId="0" borderId="0" xfId="0" applyFont="1" applyAlignment="1">
      <alignment horizontal="center" vertical="center"/>
    </xf>
    <xf numFmtId="0" fontId="0" fillId="0" borderId="0" xfId="0" applyAlignment="1"/>
    <xf numFmtId="4" fontId="3" fillId="2" borderId="1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wrapText="1"/>
    </xf>
  </cellXfs>
  <cellStyles count="6">
    <cellStyle name="Comma" xfId="4" xr:uid="{A16A3731-DA6D-456E-A3DB-65078DA1D88A}"/>
    <cellStyle name="Comma [0]" xfId="5" xr:uid="{82F7F0C4-B0C6-48B8-91B3-99F09199E3B4}"/>
    <cellStyle name="Currency" xfId="2" xr:uid="{096F3B4E-0A03-4ECA-A4B4-C3AF2800AF0B}"/>
    <cellStyle name="Currency [0]" xfId="3" xr:uid="{0A60795C-609B-4AD6-A0B3-1EEB4CD9BB79}"/>
    <cellStyle name="Normal" xfId="0" builtinId="0"/>
    <cellStyle name="Percent" xfId="1" xr:uid="{87A1E8AB-63BF-42B0-A691-87C053BF7EC7}"/>
  </cellStyles>
  <dxfs count="0"/>
  <tableStyles count="1" defaultTableStyle="TableStyleMedium9" defaultPivotStyle="PivotStyleLight16">
    <tableStyle name="Invisible" pivot="0" table="0" count="0" xr9:uid="{5EDC06D4-FF30-4A1C-9F23-FE618EE0105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tabSelected="1" zoomScaleNormal="100" workbookViewId="0">
      <selection activeCell="C12" sqref="C12"/>
    </sheetView>
  </sheetViews>
  <sheetFormatPr baseColWidth="10" defaultRowHeight="12.75" x14ac:dyDescent="0.2"/>
  <cols>
    <col min="1" max="1" width="8.7109375" bestFit="1" customWidth="1"/>
    <col min="2" max="2" width="38" bestFit="1" customWidth="1"/>
    <col min="3" max="3" width="13.7109375" style="10" customWidth="1"/>
    <col min="4" max="4" width="9.140625" style="10" customWidth="1"/>
    <col min="5" max="5" width="13.7109375" style="10" bestFit="1" customWidth="1"/>
    <col min="6" max="6" width="17.42578125" style="10" bestFit="1" customWidth="1"/>
    <col min="7" max="7" width="17.28515625" style="10" customWidth="1"/>
    <col min="8" max="8" width="6.28515625" style="10" bestFit="1" customWidth="1"/>
    <col min="9" max="9" width="6.85546875" bestFit="1" customWidth="1"/>
    <col min="10" max="10" width="9.140625" bestFit="1" customWidth="1"/>
    <col min="11" max="11" width="11.7109375" bestFit="1" customWidth="1"/>
    <col min="12" max="12" width="6.140625" bestFit="1" customWidth="1"/>
    <col min="13" max="13" width="10.140625" bestFit="1" customWidth="1"/>
    <col min="14" max="14" width="31.7109375" customWidth="1"/>
    <col min="15" max="15" width="10.5703125" bestFit="1" customWidth="1"/>
    <col min="16" max="16" width="4.140625" bestFit="1" customWidth="1"/>
    <col min="17" max="17" width="10" bestFit="1" customWidth="1"/>
    <col min="18" max="18" width="6.5703125" bestFit="1" customWidth="1"/>
    <col min="19" max="19" width="15.28515625" bestFit="1" customWidth="1"/>
    <col min="20" max="20" width="20.42578125" bestFit="1" customWidth="1"/>
    <col min="21" max="21" width="6.85546875" bestFit="1" customWidth="1"/>
    <col min="22" max="22" width="30.7109375" bestFit="1" customWidth="1"/>
    <col min="23" max="24" width="11.5703125" bestFit="1" customWidth="1"/>
    <col min="25" max="25" width="22" bestFit="1" customWidth="1"/>
    <col min="26" max="26" width="14.28515625" bestFit="1" customWidth="1"/>
    <col min="27" max="27" width="12.7109375" bestFit="1" customWidth="1"/>
  </cols>
  <sheetData>
    <row r="1" spans="1:27" x14ac:dyDescent="0.2">
      <c r="A1" s="1" t="s">
        <v>0</v>
      </c>
      <c r="B1" s="2" t="s">
        <v>1</v>
      </c>
      <c r="C1" s="11" t="s">
        <v>158</v>
      </c>
      <c r="D1" s="11" t="s">
        <v>159</v>
      </c>
      <c r="E1" s="7" t="s">
        <v>162</v>
      </c>
      <c r="F1" s="7" t="s">
        <v>166</v>
      </c>
      <c r="G1" s="7" t="s">
        <v>163</v>
      </c>
      <c r="H1" s="7" t="s">
        <v>2</v>
      </c>
      <c r="I1" s="1" t="s">
        <v>3</v>
      </c>
      <c r="J1" s="1" t="s">
        <v>4</v>
      </c>
      <c r="K1" s="1" t="s">
        <v>5</v>
      </c>
      <c r="L1" s="2" t="s">
        <v>6</v>
      </c>
      <c r="M1" s="1" t="s">
        <v>7</v>
      </c>
      <c r="N1" s="2" t="s">
        <v>8</v>
      </c>
      <c r="O1" s="1" t="s">
        <v>9</v>
      </c>
      <c r="P1" s="1" t="s">
        <v>10</v>
      </c>
      <c r="Q1" s="2" t="s">
        <v>11</v>
      </c>
      <c r="R1" s="1" t="s">
        <v>12</v>
      </c>
      <c r="S1" s="2" t="s">
        <v>13</v>
      </c>
      <c r="T1" s="2" t="s">
        <v>14</v>
      </c>
      <c r="U1" s="1" t="s">
        <v>15</v>
      </c>
      <c r="V1" s="2" t="s">
        <v>16</v>
      </c>
      <c r="W1" s="2" t="s">
        <v>17</v>
      </c>
      <c r="X1" s="2" t="s">
        <v>18</v>
      </c>
      <c r="Y1" s="2" t="s">
        <v>19</v>
      </c>
      <c r="Z1" s="2" t="s">
        <v>20</v>
      </c>
      <c r="AA1" s="1" t="s">
        <v>21</v>
      </c>
    </row>
    <row r="2" spans="1:27" x14ac:dyDescent="0.2">
      <c r="A2" s="3">
        <v>561754</v>
      </c>
      <c r="B2" s="4" t="s">
        <v>23</v>
      </c>
      <c r="C2" s="14">
        <f>VLOOKUP(B2,'HE pr. 29.03.'!A:B,2,0)</f>
        <v>334.5</v>
      </c>
      <c r="D2" s="14">
        <f>VLOOKUP(B2,'Årsverk pr. 29.03.'!A:B,2,0)</f>
        <v>24.8</v>
      </c>
      <c r="E2" s="21">
        <f>D2*Faktorer!$B$2</f>
        <v>22.32</v>
      </c>
      <c r="F2" s="21">
        <f t="shared" ref="F2:F33" si="0">C2+E2</f>
        <v>356.82</v>
      </c>
      <c r="G2" s="22">
        <f>F2/Faktorer!$B$4*Faktorer!$B$3</f>
        <v>74489.601666160772</v>
      </c>
      <c r="H2" s="9">
        <v>1</v>
      </c>
      <c r="I2" s="5">
        <v>1</v>
      </c>
      <c r="J2" s="22">
        <f>G2</f>
        <v>74489.601666160772</v>
      </c>
      <c r="K2" s="22">
        <f>J2</f>
        <v>74489.601666160772</v>
      </c>
      <c r="L2" s="15" t="s">
        <v>4</v>
      </c>
      <c r="M2" s="3">
        <v>20210401</v>
      </c>
      <c r="N2" s="15" t="s">
        <v>164</v>
      </c>
      <c r="O2" s="3">
        <v>21908</v>
      </c>
      <c r="P2" s="3">
        <v>85</v>
      </c>
      <c r="Q2" s="4" t="s">
        <v>24</v>
      </c>
      <c r="R2" s="3">
        <v>3</v>
      </c>
      <c r="S2" s="6">
        <v>44174</v>
      </c>
      <c r="T2" s="4" t="s">
        <v>25</v>
      </c>
      <c r="U2" s="5" t="s">
        <v>22</v>
      </c>
      <c r="V2" s="4" t="s">
        <v>26</v>
      </c>
      <c r="W2" s="4" t="s">
        <v>27</v>
      </c>
      <c r="X2" s="4" t="s">
        <v>28</v>
      </c>
      <c r="Y2" s="4" t="s">
        <v>29</v>
      </c>
      <c r="Z2" s="4" t="s">
        <v>22</v>
      </c>
      <c r="AA2" s="3">
        <v>0</v>
      </c>
    </row>
    <row r="3" spans="1:27" x14ac:dyDescent="0.2">
      <c r="A3" s="3">
        <v>125027</v>
      </c>
      <c r="B3" s="4" t="s">
        <v>30</v>
      </c>
      <c r="C3" s="14">
        <f>VLOOKUP(B3,'HE pr. 29.03.'!A:B,2,0)</f>
        <v>695</v>
      </c>
      <c r="D3" s="14">
        <f>VLOOKUP(B3,'Årsverk pr. 29.03.'!A:B,2,0)</f>
        <v>158.16</v>
      </c>
      <c r="E3" s="21">
        <f>D3*Faktorer!$B$2</f>
        <v>142.34399999999999</v>
      </c>
      <c r="F3" s="21">
        <f t="shared" si="0"/>
        <v>837.34400000000005</v>
      </c>
      <c r="G3" s="22">
        <f>F3/Faktorer!$B$4*Faktorer!$B$3</f>
        <v>174803.6013047187</v>
      </c>
      <c r="H3" s="9">
        <v>1</v>
      </c>
      <c r="I3" s="5">
        <v>1</v>
      </c>
      <c r="J3" s="22">
        <f t="shared" ref="J3:J33" si="1">G3</f>
        <v>174803.6013047187</v>
      </c>
      <c r="K3" s="22">
        <f t="shared" ref="K3:K33" si="2">J3</f>
        <v>174803.6013047187</v>
      </c>
      <c r="L3" s="15" t="s">
        <v>4</v>
      </c>
      <c r="M3" s="3">
        <v>20210401</v>
      </c>
      <c r="N3" s="15" t="s">
        <v>164</v>
      </c>
      <c r="O3" s="3">
        <v>20306</v>
      </c>
      <c r="P3" s="3">
        <v>85</v>
      </c>
      <c r="Q3" s="4" t="s">
        <v>31</v>
      </c>
      <c r="R3" s="3">
        <v>3</v>
      </c>
      <c r="S3" s="6">
        <v>44152</v>
      </c>
      <c r="T3" s="4" t="s">
        <v>32</v>
      </c>
      <c r="U3" s="5" t="s">
        <v>22</v>
      </c>
      <c r="V3" s="4" t="s">
        <v>33</v>
      </c>
      <c r="W3" s="4" t="s">
        <v>27</v>
      </c>
      <c r="X3" s="4" t="s">
        <v>28</v>
      </c>
      <c r="Y3" s="4" t="s">
        <v>34</v>
      </c>
      <c r="Z3" s="4" t="s">
        <v>22</v>
      </c>
      <c r="AA3" s="3">
        <v>0</v>
      </c>
    </row>
    <row r="4" spans="1:27" x14ac:dyDescent="0.2">
      <c r="A4" s="3">
        <v>125052</v>
      </c>
      <c r="B4" s="4" t="s">
        <v>35</v>
      </c>
      <c r="C4" s="14">
        <f>VLOOKUP(B4,'HE pr. 29.03.'!A:B,2,0)</f>
        <v>1199.67</v>
      </c>
      <c r="D4" s="14">
        <f>VLOOKUP(B4,'Årsverk pr. 29.03.'!A:B,2,0)</f>
        <v>149.35</v>
      </c>
      <c r="E4" s="21">
        <f>D4*Faktorer!$B$2</f>
        <v>134.41499999999999</v>
      </c>
      <c r="F4" s="21">
        <f t="shared" si="0"/>
        <v>1334.085</v>
      </c>
      <c r="G4" s="22">
        <f>F4/Faktorer!$B$4*Faktorer!$B$3</f>
        <v>278503.05543074972</v>
      </c>
      <c r="H4" s="9">
        <v>1</v>
      </c>
      <c r="I4" s="5">
        <v>1</v>
      </c>
      <c r="J4" s="22">
        <f t="shared" si="1"/>
        <v>278503.05543074972</v>
      </c>
      <c r="K4" s="22">
        <f t="shared" si="2"/>
        <v>278503.05543074972</v>
      </c>
      <c r="L4" s="15" t="s">
        <v>4</v>
      </c>
      <c r="M4" s="3">
        <v>20210401</v>
      </c>
      <c r="N4" s="15" t="s">
        <v>164</v>
      </c>
      <c r="O4" s="3">
        <v>20322</v>
      </c>
      <c r="P4" s="3">
        <v>85</v>
      </c>
      <c r="Q4" s="4" t="s">
        <v>36</v>
      </c>
      <c r="R4" s="3">
        <v>3</v>
      </c>
      <c r="S4" s="6">
        <v>44130</v>
      </c>
      <c r="T4" s="4" t="s">
        <v>37</v>
      </c>
      <c r="U4" s="5" t="s">
        <v>22</v>
      </c>
      <c r="V4" s="4" t="s">
        <v>38</v>
      </c>
      <c r="W4" s="4" t="s">
        <v>27</v>
      </c>
      <c r="X4" s="4" t="s">
        <v>28</v>
      </c>
      <c r="Y4" s="4" t="s">
        <v>29</v>
      </c>
      <c r="Z4" s="4" t="s">
        <v>22</v>
      </c>
      <c r="AA4" s="3">
        <v>0</v>
      </c>
    </row>
    <row r="5" spans="1:27" x14ac:dyDescent="0.2">
      <c r="A5" s="3">
        <v>561642</v>
      </c>
      <c r="B5" s="4" t="s">
        <v>39</v>
      </c>
      <c r="C5" s="14">
        <f>VLOOKUP(B5,'HE pr. 29.03.'!A:B,2,0)-50</f>
        <v>240</v>
      </c>
      <c r="D5" s="14">
        <f>VLOOKUP(B5,'Årsverk pr. 29.03.'!A:B,2,0)</f>
        <v>33.549999999999997</v>
      </c>
      <c r="E5" s="21">
        <f>D5*Faktorer!$B$2</f>
        <v>30.194999999999997</v>
      </c>
      <c r="F5" s="21">
        <f t="shared" si="0"/>
        <v>270.19499999999999</v>
      </c>
      <c r="G5" s="22">
        <f>F5/Faktorer!$B$4*Faktorer!$B$3</f>
        <v>56405.801026255001</v>
      </c>
      <c r="H5" s="9">
        <v>1</v>
      </c>
      <c r="I5" s="5">
        <v>1</v>
      </c>
      <c r="J5" s="22">
        <f t="shared" si="1"/>
        <v>56405.801026255001</v>
      </c>
      <c r="K5" s="22">
        <f t="shared" si="2"/>
        <v>56405.801026255001</v>
      </c>
      <c r="L5" s="15" t="s">
        <v>4</v>
      </c>
      <c r="M5" s="3">
        <v>20210401</v>
      </c>
      <c r="N5" s="15" t="s">
        <v>164</v>
      </c>
      <c r="O5" s="3">
        <v>62235</v>
      </c>
      <c r="P5" s="3">
        <v>85</v>
      </c>
      <c r="Q5" s="4" t="s">
        <v>40</v>
      </c>
      <c r="R5" s="3">
        <v>3</v>
      </c>
      <c r="S5" s="6">
        <v>44134</v>
      </c>
      <c r="T5" s="4" t="s">
        <v>41</v>
      </c>
      <c r="U5" s="5" t="s">
        <v>22</v>
      </c>
      <c r="V5" s="4" t="s">
        <v>42</v>
      </c>
      <c r="W5" s="4" t="s">
        <v>27</v>
      </c>
      <c r="X5" s="4" t="s">
        <v>28</v>
      </c>
      <c r="Y5" s="4" t="s">
        <v>29</v>
      </c>
      <c r="Z5" s="4" t="s">
        <v>22</v>
      </c>
      <c r="AA5" s="3">
        <v>0</v>
      </c>
    </row>
    <row r="6" spans="1:27" x14ac:dyDescent="0.2">
      <c r="A6" s="3">
        <v>300027</v>
      </c>
      <c r="B6" s="4" t="s">
        <v>43</v>
      </c>
      <c r="C6" s="14">
        <f>VLOOKUP(B6,'HE pr. 29.03.'!A:B,2,0)</f>
        <v>830</v>
      </c>
      <c r="D6" s="14">
        <v>367</v>
      </c>
      <c r="E6" s="21">
        <f>D6*Faktorer!$B$2</f>
        <v>330.3</v>
      </c>
      <c r="F6" s="21">
        <f t="shared" si="0"/>
        <v>1160.3</v>
      </c>
      <c r="G6" s="22">
        <f>F6/Faktorer!$B$4*Faktorer!$B$3</f>
        <v>242223.76776314768</v>
      </c>
      <c r="H6" s="9">
        <v>1</v>
      </c>
      <c r="I6" s="5">
        <v>1</v>
      </c>
      <c r="J6" s="22">
        <f t="shared" si="1"/>
        <v>242223.76776314768</v>
      </c>
      <c r="K6" s="22">
        <f t="shared" si="2"/>
        <v>242223.76776314768</v>
      </c>
      <c r="L6" s="15" t="s">
        <v>4</v>
      </c>
      <c r="M6" s="3">
        <v>20210401</v>
      </c>
      <c r="N6" s="15" t="s">
        <v>164</v>
      </c>
      <c r="O6" s="3">
        <v>64415</v>
      </c>
      <c r="P6" s="3">
        <v>85</v>
      </c>
      <c r="Q6" s="4" t="s">
        <v>44</v>
      </c>
      <c r="R6" s="3">
        <v>3</v>
      </c>
      <c r="S6" s="6">
        <v>44162</v>
      </c>
      <c r="T6" s="4" t="s">
        <v>45</v>
      </c>
      <c r="U6" s="5" t="s">
        <v>22</v>
      </c>
      <c r="V6" s="4" t="s">
        <v>46</v>
      </c>
      <c r="W6" s="4" t="s">
        <v>27</v>
      </c>
      <c r="X6" s="4" t="s">
        <v>28</v>
      </c>
      <c r="Y6" s="4" t="s">
        <v>47</v>
      </c>
      <c r="Z6" s="4" t="s">
        <v>48</v>
      </c>
      <c r="AA6" s="3">
        <v>0</v>
      </c>
    </row>
    <row r="7" spans="1:27" x14ac:dyDescent="0.2">
      <c r="A7" s="3">
        <v>125054</v>
      </c>
      <c r="B7" s="4" t="s">
        <v>49</v>
      </c>
      <c r="C7" s="14">
        <f>VLOOKUP(B7,'HE pr. 29.03.'!A:B,2,0)</f>
        <v>16159.1</v>
      </c>
      <c r="D7" s="14">
        <f>VLOOKUP(B7,'Årsverk pr. 29.03.'!A:B,2,0)</f>
        <v>839.58</v>
      </c>
      <c r="E7" s="21">
        <f>D7*Faktorer!$B$2</f>
        <v>755.62200000000007</v>
      </c>
      <c r="F7" s="21">
        <f t="shared" si="0"/>
        <v>16914.722000000002</v>
      </c>
      <c r="G7" s="22">
        <f>F7/Faktorer!$B$4*Faktorer!$B$3</f>
        <v>3531110.655439287</v>
      </c>
      <c r="H7" s="9">
        <v>1</v>
      </c>
      <c r="I7" s="5">
        <v>1</v>
      </c>
      <c r="J7" s="22">
        <f t="shared" si="1"/>
        <v>3531110.655439287</v>
      </c>
      <c r="K7" s="22">
        <f t="shared" si="2"/>
        <v>3531110.655439287</v>
      </c>
      <c r="L7" s="15" t="s">
        <v>4</v>
      </c>
      <c r="M7" s="3">
        <v>20210401</v>
      </c>
      <c r="N7" s="15" t="s">
        <v>164</v>
      </c>
      <c r="O7" s="3">
        <v>19272</v>
      </c>
      <c r="P7" s="3">
        <v>85</v>
      </c>
      <c r="Q7" s="4" t="s">
        <v>50</v>
      </c>
      <c r="R7" s="3">
        <v>3</v>
      </c>
      <c r="S7" s="6">
        <v>44126</v>
      </c>
      <c r="T7" s="4" t="s">
        <v>51</v>
      </c>
      <c r="U7" s="5" t="s">
        <v>22</v>
      </c>
      <c r="V7" s="4" t="s">
        <v>52</v>
      </c>
      <c r="W7" s="4" t="s">
        <v>27</v>
      </c>
      <c r="X7" s="4" t="s">
        <v>28</v>
      </c>
      <c r="Y7" s="4" t="s">
        <v>34</v>
      </c>
      <c r="Z7" s="4" t="s">
        <v>22</v>
      </c>
      <c r="AA7" s="3">
        <v>0</v>
      </c>
    </row>
    <row r="8" spans="1:27" x14ac:dyDescent="0.2">
      <c r="A8" s="3">
        <v>406671</v>
      </c>
      <c r="B8" s="4" t="s">
        <v>53</v>
      </c>
      <c r="C8" s="14">
        <f>VLOOKUP(B8,'HE pr. 29.03.'!A:B,2,0)</f>
        <v>11349.5</v>
      </c>
      <c r="D8" s="14">
        <f>VLOOKUP(B8,'Årsverk pr. 29.03.'!A:B,2,0)</f>
        <v>1093.8800000000001</v>
      </c>
      <c r="E8" s="21">
        <f>D8*Faktorer!$B$2</f>
        <v>984.49200000000008</v>
      </c>
      <c r="F8" s="21">
        <f t="shared" si="0"/>
        <v>12333.992</v>
      </c>
      <c r="G8" s="22">
        <f>F8/Faktorer!$B$4*Faktorer!$B$3</f>
        <v>2574839.2776010698</v>
      </c>
      <c r="H8" s="9">
        <v>1</v>
      </c>
      <c r="I8" s="5">
        <v>1</v>
      </c>
      <c r="J8" s="22">
        <f t="shared" si="1"/>
        <v>2574839.2776010698</v>
      </c>
      <c r="K8" s="22">
        <f t="shared" si="2"/>
        <v>2574839.2776010698</v>
      </c>
      <c r="L8" s="15" t="s">
        <v>4</v>
      </c>
      <c r="M8" s="3">
        <v>20210401</v>
      </c>
      <c r="N8" s="15" t="s">
        <v>164</v>
      </c>
      <c r="O8" s="3">
        <v>231702</v>
      </c>
      <c r="P8" s="3">
        <v>85</v>
      </c>
      <c r="Q8" s="4" t="s">
        <v>54</v>
      </c>
      <c r="R8" s="3">
        <v>3</v>
      </c>
      <c r="S8" s="6">
        <v>44132</v>
      </c>
      <c r="T8" s="4" t="s">
        <v>55</v>
      </c>
      <c r="U8" s="5" t="s">
        <v>22</v>
      </c>
      <c r="V8" s="4" t="s">
        <v>56</v>
      </c>
      <c r="W8" s="4" t="s">
        <v>27</v>
      </c>
      <c r="X8" s="4" t="s">
        <v>28</v>
      </c>
      <c r="Y8" s="4" t="s">
        <v>47</v>
      </c>
      <c r="Z8" s="4" t="s">
        <v>22</v>
      </c>
      <c r="AA8" s="3">
        <v>0</v>
      </c>
    </row>
    <row r="9" spans="1:27" x14ac:dyDescent="0.2">
      <c r="A9" s="3">
        <v>125010</v>
      </c>
      <c r="B9" s="4" t="s">
        <v>57</v>
      </c>
      <c r="C9" s="14">
        <f>VLOOKUP(B9,'HE pr. 29.03.'!A:B,2,0)</f>
        <v>2183.14</v>
      </c>
      <c r="D9" s="14">
        <f>VLOOKUP(B9,'Årsverk pr. 29.03.'!A:B,2,0)</f>
        <v>229.4</v>
      </c>
      <c r="E9" s="21">
        <f>D9*Faktorer!$B$2</f>
        <v>206.46</v>
      </c>
      <c r="F9" s="21">
        <f t="shared" si="0"/>
        <v>2389.6</v>
      </c>
      <c r="G9" s="22">
        <f>F9/Faktorer!$B$4*Faktorer!$B$3</f>
        <v>498851.94815721596</v>
      </c>
      <c r="H9" s="9">
        <v>1</v>
      </c>
      <c r="I9" s="5">
        <v>1</v>
      </c>
      <c r="J9" s="22">
        <f t="shared" si="1"/>
        <v>498851.94815721596</v>
      </c>
      <c r="K9" s="22">
        <f t="shared" si="2"/>
        <v>498851.94815721596</v>
      </c>
      <c r="L9" s="15" t="s">
        <v>4</v>
      </c>
      <c r="M9" s="3">
        <v>20210401</v>
      </c>
      <c r="N9" s="15" t="s">
        <v>164</v>
      </c>
      <c r="O9" s="3">
        <v>20289</v>
      </c>
      <c r="P9" s="3">
        <v>85</v>
      </c>
      <c r="Q9" s="4" t="s">
        <v>58</v>
      </c>
      <c r="R9" s="3">
        <v>3</v>
      </c>
      <c r="S9" s="6">
        <v>44173</v>
      </c>
      <c r="T9" s="4" t="s">
        <v>59</v>
      </c>
      <c r="U9" s="5" t="s">
        <v>22</v>
      </c>
      <c r="V9" s="4" t="s">
        <v>60</v>
      </c>
      <c r="W9" s="4" t="s">
        <v>27</v>
      </c>
      <c r="X9" s="4" t="s">
        <v>28</v>
      </c>
      <c r="Y9" s="4" t="s">
        <v>34</v>
      </c>
      <c r="Z9" s="4" t="s">
        <v>22</v>
      </c>
      <c r="AA9" s="3">
        <v>0</v>
      </c>
    </row>
    <row r="10" spans="1:27" x14ac:dyDescent="0.2">
      <c r="A10" s="3">
        <v>125024</v>
      </c>
      <c r="B10" s="4" t="s">
        <v>61</v>
      </c>
      <c r="C10" s="14">
        <f>VLOOKUP(B10,'HE pr. 29.03.'!A:B,2,0)</f>
        <v>5494.42</v>
      </c>
      <c r="D10" s="14">
        <f>VLOOKUP(B10,'Årsverk pr. 29.03.'!A:B,2,0)</f>
        <v>605.46</v>
      </c>
      <c r="E10" s="21">
        <f>D10*Faktorer!$B$2</f>
        <v>544.9140000000001</v>
      </c>
      <c r="F10" s="21">
        <f t="shared" si="0"/>
        <v>6039.3339999999998</v>
      </c>
      <c r="G10" s="22">
        <f>F10/Faktorer!$B$4*Faktorer!$B$3</f>
        <v>1260768.9703180916</v>
      </c>
      <c r="H10" s="9">
        <v>1</v>
      </c>
      <c r="I10" s="5">
        <v>1</v>
      </c>
      <c r="J10" s="22">
        <f t="shared" si="1"/>
        <v>1260768.9703180916</v>
      </c>
      <c r="K10" s="22">
        <f t="shared" si="2"/>
        <v>1260768.9703180916</v>
      </c>
      <c r="L10" s="15" t="s">
        <v>4</v>
      </c>
      <c r="M10" s="3">
        <v>20210401</v>
      </c>
      <c r="N10" s="15" t="s">
        <v>164</v>
      </c>
      <c r="O10" s="3">
        <v>20303</v>
      </c>
      <c r="P10" s="3">
        <v>85</v>
      </c>
      <c r="Q10" s="4" t="s">
        <v>62</v>
      </c>
      <c r="R10" s="3">
        <v>3</v>
      </c>
      <c r="S10" s="6">
        <v>44137</v>
      </c>
      <c r="T10" s="4" t="s">
        <v>63</v>
      </c>
      <c r="U10" s="5" t="s">
        <v>22</v>
      </c>
      <c r="V10" s="4" t="s">
        <v>64</v>
      </c>
      <c r="W10" s="4" t="s">
        <v>27</v>
      </c>
      <c r="X10" s="4" t="s">
        <v>28</v>
      </c>
      <c r="Y10" s="4" t="s">
        <v>47</v>
      </c>
      <c r="Z10" s="4" t="s">
        <v>22</v>
      </c>
      <c r="AA10" s="3">
        <v>0</v>
      </c>
    </row>
    <row r="11" spans="1:27" x14ac:dyDescent="0.2">
      <c r="A11" s="3">
        <v>125012</v>
      </c>
      <c r="B11" s="4" t="s">
        <v>65</v>
      </c>
      <c r="C11" s="14">
        <f>VLOOKUP(B11,'HE pr. 29.03.'!A:B,2,0)</f>
        <v>2966.38</v>
      </c>
      <c r="D11" s="14">
        <f>VLOOKUP(B11,'Årsverk pr. 29.03.'!A:B,2,0)</f>
        <v>352.75</v>
      </c>
      <c r="E11" s="21">
        <f>D11*Faktorer!$B$2</f>
        <v>317.47500000000002</v>
      </c>
      <c r="F11" s="21">
        <f t="shared" si="0"/>
        <v>3283.855</v>
      </c>
      <c r="G11" s="22">
        <f>F11/Faktorer!$B$4*Faktorer!$B$3</f>
        <v>685536.26724799734</v>
      </c>
      <c r="H11" s="9">
        <v>1</v>
      </c>
      <c r="I11" s="5">
        <v>1</v>
      </c>
      <c r="J11" s="22">
        <f t="shared" si="1"/>
        <v>685536.26724799734</v>
      </c>
      <c r="K11" s="22">
        <f t="shared" si="2"/>
        <v>685536.26724799734</v>
      </c>
      <c r="L11" s="15" t="s">
        <v>4</v>
      </c>
      <c r="M11" s="3">
        <v>20210401</v>
      </c>
      <c r="N11" s="15" t="s">
        <v>164</v>
      </c>
      <c r="O11" s="3">
        <v>20291</v>
      </c>
      <c r="P11" s="3">
        <v>85</v>
      </c>
      <c r="Q11" s="4" t="s">
        <v>66</v>
      </c>
      <c r="R11" s="3">
        <v>3</v>
      </c>
      <c r="S11" s="6">
        <v>44176</v>
      </c>
      <c r="T11" s="4" t="s">
        <v>67</v>
      </c>
      <c r="U11" s="5" t="s">
        <v>22</v>
      </c>
      <c r="V11" s="4" t="s">
        <v>68</v>
      </c>
      <c r="W11" s="4" t="s">
        <v>27</v>
      </c>
      <c r="X11" s="4" t="s">
        <v>28</v>
      </c>
      <c r="Y11" s="4" t="s">
        <v>47</v>
      </c>
      <c r="Z11" s="4" t="s">
        <v>22</v>
      </c>
      <c r="AA11" s="3">
        <v>0</v>
      </c>
    </row>
    <row r="12" spans="1:27" x14ac:dyDescent="0.2">
      <c r="A12" s="3">
        <v>406670</v>
      </c>
      <c r="B12" s="4" t="s">
        <v>69</v>
      </c>
      <c r="C12" s="14">
        <f>VLOOKUP(B12,'HE pr. 29.03.'!A:B,2,0)</f>
        <v>13473.91</v>
      </c>
      <c r="D12" s="14">
        <f>VLOOKUP(B12,'Årsverk pr. 29.03.'!A:B,2,0)</f>
        <v>1797.27</v>
      </c>
      <c r="E12" s="21">
        <f>D12*Faktorer!$B$2</f>
        <v>1617.5430000000001</v>
      </c>
      <c r="F12" s="21">
        <f t="shared" si="0"/>
        <v>15091.453</v>
      </c>
      <c r="G12" s="22">
        <f>F12/Faktorer!$B$4*Faktorer!$B$3</f>
        <v>3150485.7422049972</v>
      </c>
      <c r="H12" s="9">
        <v>1</v>
      </c>
      <c r="I12" s="5">
        <v>1</v>
      </c>
      <c r="J12" s="22">
        <f t="shared" si="1"/>
        <v>3150485.7422049972</v>
      </c>
      <c r="K12" s="22">
        <f t="shared" si="2"/>
        <v>3150485.7422049972</v>
      </c>
      <c r="L12" s="15" t="s">
        <v>4</v>
      </c>
      <c r="M12" s="3">
        <v>20210401</v>
      </c>
      <c r="N12" s="15" t="s">
        <v>164</v>
      </c>
      <c r="O12" s="3">
        <v>231701</v>
      </c>
      <c r="P12" s="3">
        <v>85</v>
      </c>
      <c r="Q12" s="4" t="s">
        <v>70</v>
      </c>
      <c r="R12" s="3">
        <v>3</v>
      </c>
      <c r="S12" s="6">
        <v>42783</v>
      </c>
      <c r="T12" s="4" t="s">
        <v>71</v>
      </c>
      <c r="U12" s="5">
        <v>0</v>
      </c>
      <c r="V12" s="4" t="s">
        <v>22</v>
      </c>
      <c r="W12" s="4" t="s">
        <v>27</v>
      </c>
      <c r="X12" s="4" t="s">
        <v>28</v>
      </c>
      <c r="Y12" s="4" t="s">
        <v>47</v>
      </c>
      <c r="Z12" s="4" t="s">
        <v>22</v>
      </c>
      <c r="AA12" s="3">
        <v>0</v>
      </c>
    </row>
    <row r="13" spans="1:27" x14ac:dyDescent="0.2">
      <c r="A13" s="3">
        <v>125072</v>
      </c>
      <c r="B13" s="4" t="s">
        <v>72</v>
      </c>
      <c r="C13" s="14">
        <f>VLOOKUP(B13,'HE pr. 29.03.'!A:B,2,0)</f>
        <v>10655.85</v>
      </c>
      <c r="D13" s="14">
        <f>VLOOKUP(B13,'Årsverk pr. 29.03.'!A:B,2,0)</f>
        <v>493.54</v>
      </c>
      <c r="E13" s="21">
        <f>D13*Faktorer!$B$2</f>
        <v>444.18600000000004</v>
      </c>
      <c r="F13" s="21">
        <f t="shared" si="0"/>
        <v>11100.036</v>
      </c>
      <c r="G13" s="22">
        <f>F13/Faktorer!$B$4*Faktorer!$B$3</f>
        <v>2317239.1124938191</v>
      </c>
      <c r="H13" s="9">
        <v>1</v>
      </c>
      <c r="I13" s="5">
        <v>1</v>
      </c>
      <c r="J13" s="22">
        <f t="shared" si="1"/>
        <v>2317239.1124938191</v>
      </c>
      <c r="K13" s="22">
        <f t="shared" si="2"/>
        <v>2317239.1124938191</v>
      </c>
      <c r="L13" s="15" t="s">
        <v>4</v>
      </c>
      <c r="M13" s="3">
        <v>20210401</v>
      </c>
      <c r="N13" s="15" t="s">
        <v>164</v>
      </c>
      <c r="O13" s="3">
        <v>20335</v>
      </c>
      <c r="P13" s="3">
        <v>85</v>
      </c>
      <c r="Q13" s="4" t="s">
        <v>73</v>
      </c>
      <c r="R13" s="3">
        <v>3</v>
      </c>
      <c r="S13" s="6">
        <v>44230</v>
      </c>
      <c r="T13" s="4" t="s">
        <v>74</v>
      </c>
      <c r="U13" s="5" t="s">
        <v>22</v>
      </c>
      <c r="V13" s="4" t="s">
        <v>75</v>
      </c>
      <c r="W13" s="4" t="s">
        <v>27</v>
      </c>
      <c r="X13" s="4" t="s">
        <v>28</v>
      </c>
      <c r="Y13" s="4" t="s">
        <v>29</v>
      </c>
      <c r="Z13" s="4" t="s">
        <v>22</v>
      </c>
      <c r="AA13" s="3">
        <v>0</v>
      </c>
    </row>
    <row r="14" spans="1:27" x14ac:dyDescent="0.2">
      <c r="A14" s="3">
        <v>125075</v>
      </c>
      <c r="B14" s="4" t="s">
        <v>76</v>
      </c>
      <c r="C14" s="14">
        <f>VLOOKUP(B14,'HE pr. 29.03.'!A:B,2,0)</f>
        <v>575</v>
      </c>
      <c r="D14" s="14">
        <f>VLOOKUP(B14,'Årsverk pr. 29.03.'!A:B,2,0)</f>
        <v>199.47</v>
      </c>
      <c r="E14" s="21">
        <f>D14*Faktorer!$B$2</f>
        <v>179.523</v>
      </c>
      <c r="F14" s="21">
        <f t="shared" si="0"/>
        <v>754.52300000000002</v>
      </c>
      <c r="G14" s="22">
        <f>F14/Faktorer!$B$4*Faktorer!$B$3</f>
        <v>157513.92219594371</v>
      </c>
      <c r="H14" s="9">
        <v>1</v>
      </c>
      <c r="I14" s="5">
        <v>1</v>
      </c>
      <c r="J14" s="22">
        <f t="shared" si="1"/>
        <v>157513.92219594371</v>
      </c>
      <c r="K14" s="22">
        <f t="shared" si="2"/>
        <v>157513.92219594371</v>
      </c>
      <c r="L14" s="15" t="s">
        <v>4</v>
      </c>
      <c r="M14" s="3">
        <v>20210401</v>
      </c>
      <c r="N14" s="15" t="s">
        <v>164</v>
      </c>
      <c r="O14" s="3">
        <v>20338</v>
      </c>
      <c r="P14" s="3">
        <v>85</v>
      </c>
      <c r="Q14" s="4" t="s">
        <v>77</v>
      </c>
      <c r="R14" s="3">
        <v>3</v>
      </c>
      <c r="S14" s="6">
        <v>44146</v>
      </c>
      <c r="T14" s="4" t="s">
        <v>78</v>
      </c>
      <c r="U14" s="5" t="s">
        <v>22</v>
      </c>
      <c r="V14" s="4" t="s">
        <v>79</v>
      </c>
      <c r="W14" s="4" t="s">
        <v>27</v>
      </c>
      <c r="X14" s="4" t="s">
        <v>28</v>
      </c>
      <c r="Y14" s="4" t="s">
        <v>34</v>
      </c>
      <c r="Z14" s="4" t="s">
        <v>22</v>
      </c>
      <c r="AA14" s="3">
        <v>0</v>
      </c>
    </row>
    <row r="15" spans="1:27" x14ac:dyDescent="0.2">
      <c r="A15" s="3">
        <v>125059</v>
      </c>
      <c r="B15" s="4" t="s">
        <v>80</v>
      </c>
      <c r="C15" s="14">
        <f>VLOOKUP(B15,'HE pr. 29.03.'!A:B,2,0)</f>
        <v>972.75</v>
      </c>
      <c r="D15" s="14">
        <f>VLOOKUP(B15,'Årsverk pr. 29.03.'!A:B,2,0)</f>
        <v>106.1</v>
      </c>
      <c r="E15" s="21">
        <f>D15*Faktorer!$B$2</f>
        <v>95.49</v>
      </c>
      <c r="F15" s="21">
        <f t="shared" si="0"/>
        <v>1068.24</v>
      </c>
      <c r="G15" s="22">
        <f>F15/Faktorer!$B$4*Faktorer!$B$3</f>
        <v>223005.3586790527</v>
      </c>
      <c r="H15" s="9">
        <v>1</v>
      </c>
      <c r="I15" s="5">
        <v>1</v>
      </c>
      <c r="J15" s="22">
        <f t="shared" si="1"/>
        <v>223005.3586790527</v>
      </c>
      <c r="K15" s="22">
        <f t="shared" si="2"/>
        <v>223005.3586790527</v>
      </c>
      <c r="L15" s="15" t="s">
        <v>4</v>
      </c>
      <c r="M15" s="3">
        <v>20210401</v>
      </c>
      <c r="N15" s="15" t="s">
        <v>164</v>
      </c>
      <c r="O15" s="3">
        <v>20307</v>
      </c>
      <c r="P15" s="3">
        <v>85</v>
      </c>
      <c r="Q15" s="4" t="s">
        <v>81</v>
      </c>
      <c r="R15" s="3">
        <v>3</v>
      </c>
      <c r="S15" s="6">
        <v>44126</v>
      </c>
      <c r="T15" s="4" t="s">
        <v>82</v>
      </c>
      <c r="U15" s="5" t="s">
        <v>22</v>
      </c>
      <c r="V15" s="4" t="s">
        <v>83</v>
      </c>
      <c r="W15" s="4" t="s">
        <v>27</v>
      </c>
      <c r="X15" s="4" t="s">
        <v>28</v>
      </c>
      <c r="Y15" s="4" t="s">
        <v>29</v>
      </c>
      <c r="Z15" s="4" t="s">
        <v>22</v>
      </c>
      <c r="AA15" s="3">
        <v>0</v>
      </c>
    </row>
    <row r="16" spans="1:27" x14ac:dyDescent="0.2">
      <c r="A16" s="3">
        <v>125048</v>
      </c>
      <c r="B16" s="4" t="s">
        <v>84</v>
      </c>
      <c r="C16" s="14">
        <f>VLOOKUP(B16,'HE pr. 29.03.'!A:B,2,0)</f>
        <v>1022.24</v>
      </c>
      <c r="D16" s="14">
        <f>VLOOKUP(B16,'Årsverk pr. 29.03.'!A:B,2,0)</f>
        <v>124.4</v>
      </c>
      <c r="E16" s="21">
        <f>D16*Faktorer!$B$2</f>
        <v>111.96000000000001</v>
      </c>
      <c r="F16" s="21">
        <f t="shared" si="0"/>
        <v>1134.2</v>
      </c>
      <c r="G16" s="22">
        <f>F16/Faktorer!$B$4*Faktorer!$B$3</f>
        <v>236775.14211579945</v>
      </c>
      <c r="H16" s="9">
        <v>1</v>
      </c>
      <c r="I16" s="5">
        <v>1</v>
      </c>
      <c r="J16" s="22">
        <f t="shared" si="1"/>
        <v>236775.14211579945</v>
      </c>
      <c r="K16" s="22">
        <f t="shared" si="2"/>
        <v>236775.14211579945</v>
      </c>
      <c r="L16" s="15" t="s">
        <v>4</v>
      </c>
      <c r="M16" s="3">
        <v>20210401</v>
      </c>
      <c r="N16" s="15" t="s">
        <v>164</v>
      </c>
      <c r="O16" s="3">
        <v>20319</v>
      </c>
      <c r="P16" s="3">
        <v>85</v>
      </c>
      <c r="Q16" s="4" t="s">
        <v>85</v>
      </c>
      <c r="R16" s="3">
        <v>3</v>
      </c>
      <c r="S16" s="6">
        <v>44123</v>
      </c>
      <c r="T16" s="4" t="s">
        <v>86</v>
      </c>
      <c r="U16" s="5" t="s">
        <v>22</v>
      </c>
      <c r="V16" s="4" t="s">
        <v>87</v>
      </c>
      <c r="W16" s="4" t="s">
        <v>27</v>
      </c>
      <c r="X16" s="4" t="s">
        <v>28</v>
      </c>
      <c r="Y16" s="4" t="s">
        <v>29</v>
      </c>
      <c r="Z16" s="4" t="s">
        <v>22</v>
      </c>
      <c r="AA16" s="3">
        <v>0</v>
      </c>
    </row>
    <row r="17" spans="1:27" x14ac:dyDescent="0.2">
      <c r="A17" s="3">
        <v>125060</v>
      </c>
      <c r="B17" s="4" t="s">
        <v>88</v>
      </c>
      <c r="C17" s="14">
        <f>VLOOKUP(B17,'HE pr. 29.03.'!A:B,2,0)</f>
        <v>2259.17</v>
      </c>
      <c r="D17" s="14">
        <f>VLOOKUP(B17,'Årsverk pr. 29.03.'!A:B,2,0)</f>
        <v>253.6</v>
      </c>
      <c r="E17" s="21">
        <f>D17*Faktorer!$B$2</f>
        <v>228.24</v>
      </c>
      <c r="F17" s="21">
        <f t="shared" si="0"/>
        <v>2487.41</v>
      </c>
      <c r="G17" s="22">
        <f>F17/Faktorer!$B$4*Faktorer!$B$3</f>
        <v>519270.72496055427</v>
      </c>
      <c r="H17" s="9">
        <v>1</v>
      </c>
      <c r="I17" s="5">
        <v>1</v>
      </c>
      <c r="J17" s="22">
        <f t="shared" si="1"/>
        <v>519270.72496055427</v>
      </c>
      <c r="K17" s="22">
        <f t="shared" si="2"/>
        <v>519270.72496055427</v>
      </c>
      <c r="L17" s="15" t="s">
        <v>4</v>
      </c>
      <c r="M17" s="3">
        <v>20210401</v>
      </c>
      <c r="N17" s="15" t="s">
        <v>164</v>
      </c>
      <c r="O17" s="3">
        <v>20328</v>
      </c>
      <c r="P17" s="3">
        <v>85</v>
      </c>
      <c r="Q17" s="4" t="s">
        <v>89</v>
      </c>
      <c r="R17" s="3">
        <v>3</v>
      </c>
      <c r="S17" s="6">
        <v>44176</v>
      </c>
      <c r="T17" s="4" t="s">
        <v>90</v>
      </c>
      <c r="U17" s="5" t="s">
        <v>22</v>
      </c>
      <c r="V17" s="4" t="s">
        <v>91</v>
      </c>
      <c r="W17" s="4" t="s">
        <v>27</v>
      </c>
      <c r="X17" s="4" t="s">
        <v>28</v>
      </c>
      <c r="Y17" s="4" t="s">
        <v>29</v>
      </c>
      <c r="Z17" s="4" t="s">
        <v>22</v>
      </c>
      <c r="AA17" s="3">
        <v>0</v>
      </c>
    </row>
    <row r="18" spans="1:27" x14ac:dyDescent="0.2">
      <c r="A18" s="3">
        <v>404533</v>
      </c>
      <c r="B18" s="4" t="s">
        <v>92</v>
      </c>
      <c r="C18" s="14">
        <f>VLOOKUP(B18,'HE pr. 29.03.'!A:B,2,0)</f>
        <v>8703.8799999999992</v>
      </c>
      <c r="D18" s="14">
        <f>VLOOKUP(B18,'Årsverk pr. 29.03.'!A:B,2,0)</f>
        <v>1342.07</v>
      </c>
      <c r="E18" s="21">
        <f>D18*Faktorer!$B$2</f>
        <v>1207.8630000000001</v>
      </c>
      <c r="F18" s="21">
        <f t="shared" si="0"/>
        <v>9911.7429999999986</v>
      </c>
      <c r="G18" s="22">
        <f>F18/Faktorer!$B$4*Faktorer!$B$3</f>
        <v>2069171.5371541879</v>
      </c>
      <c r="H18" s="9">
        <v>1</v>
      </c>
      <c r="I18" s="5">
        <v>1</v>
      </c>
      <c r="J18" s="22">
        <f t="shared" si="1"/>
        <v>2069171.5371541879</v>
      </c>
      <c r="K18" s="22">
        <f t="shared" si="2"/>
        <v>2069171.5371541879</v>
      </c>
      <c r="L18" s="15" t="s">
        <v>4</v>
      </c>
      <c r="M18" s="3">
        <v>20210401</v>
      </c>
      <c r="N18" s="15" t="s">
        <v>164</v>
      </c>
      <c r="O18" s="3">
        <v>229415</v>
      </c>
      <c r="P18" s="3">
        <v>85</v>
      </c>
      <c r="Q18" s="4" t="s">
        <v>93</v>
      </c>
      <c r="R18" s="3">
        <v>3</v>
      </c>
      <c r="S18" s="6">
        <v>44187</v>
      </c>
      <c r="T18" s="4" t="s">
        <v>94</v>
      </c>
      <c r="U18" s="5" t="s">
        <v>22</v>
      </c>
      <c r="V18" s="4" t="s">
        <v>95</v>
      </c>
      <c r="W18" s="4" t="s">
        <v>27</v>
      </c>
      <c r="X18" s="4" t="s">
        <v>28</v>
      </c>
      <c r="Y18" s="4" t="s">
        <v>96</v>
      </c>
      <c r="Z18" s="4" t="s">
        <v>22</v>
      </c>
      <c r="AA18" s="3">
        <v>0</v>
      </c>
    </row>
    <row r="19" spans="1:27" x14ac:dyDescent="0.2">
      <c r="A19" s="3">
        <v>125029</v>
      </c>
      <c r="B19" s="4" t="s">
        <v>97</v>
      </c>
      <c r="C19" s="14">
        <f>VLOOKUP(B19,'HE pr. 29.03.'!A:B,2,0)</f>
        <v>3428.02</v>
      </c>
      <c r="D19" s="14">
        <f>VLOOKUP(B19,'Årsverk pr. 29.03.'!A:B,2,0)</f>
        <v>434.7</v>
      </c>
      <c r="E19" s="21">
        <f>D19*Faktorer!$B$2</f>
        <v>391.23</v>
      </c>
      <c r="F19" s="21">
        <f t="shared" si="0"/>
        <v>3819.25</v>
      </c>
      <c r="G19" s="22">
        <f>F19/Faktorer!$B$4*Faktorer!$B$3</f>
        <v>797305.11508179072</v>
      </c>
      <c r="H19" s="9">
        <v>1</v>
      </c>
      <c r="I19" s="5">
        <v>1</v>
      </c>
      <c r="J19" s="22">
        <f t="shared" si="1"/>
        <v>797305.11508179072</v>
      </c>
      <c r="K19" s="22">
        <f t="shared" si="2"/>
        <v>797305.11508179072</v>
      </c>
      <c r="L19" s="15" t="s">
        <v>4</v>
      </c>
      <c r="M19" s="3">
        <v>20210401</v>
      </c>
      <c r="N19" s="15" t="s">
        <v>164</v>
      </c>
      <c r="O19" s="3">
        <v>20308</v>
      </c>
      <c r="P19" s="3">
        <v>85</v>
      </c>
      <c r="Q19" s="4" t="s">
        <v>98</v>
      </c>
      <c r="R19" s="3">
        <v>3</v>
      </c>
      <c r="S19" s="6">
        <v>44172</v>
      </c>
      <c r="T19" s="4" t="s">
        <v>99</v>
      </c>
      <c r="U19" s="5" t="s">
        <v>22</v>
      </c>
      <c r="V19" s="4" t="s">
        <v>100</v>
      </c>
      <c r="W19" s="4" t="s">
        <v>27</v>
      </c>
      <c r="X19" s="4" t="s">
        <v>28</v>
      </c>
      <c r="Y19" s="4" t="s">
        <v>34</v>
      </c>
      <c r="Z19" s="4" t="s">
        <v>22</v>
      </c>
      <c r="AA19" s="3">
        <v>0</v>
      </c>
    </row>
    <row r="20" spans="1:27" x14ac:dyDescent="0.2">
      <c r="A20" s="3">
        <v>125030</v>
      </c>
      <c r="B20" s="4" t="s">
        <v>101</v>
      </c>
      <c r="C20" s="14">
        <f>VLOOKUP(B20,'HE pr. 29.03.'!A:B,2,0)</f>
        <v>1033.78</v>
      </c>
      <c r="D20" s="14">
        <f>VLOOKUP(B20,'Årsverk pr. 29.03.'!A:B,2,0)</f>
        <v>232.15</v>
      </c>
      <c r="E20" s="21">
        <f>D20*Faktorer!$B$2</f>
        <v>208.935</v>
      </c>
      <c r="F20" s="21">
        <f t="shared" si="0"/>
        <v>1242.7149999999999</v>
      </c>
      <c r="G20" s="22">
        <f>F20/Faktorer!$B$4*Faktorer!$B$3</f>
        <v>259428.69047296391</v>
      </c>
      <c r="H20" s="9">
        <v>1</v>
      </c>
      <c r="I20" s="5">
        <v>1</v>
      </c>
      <c r="J20" s="22">
        <f t="shared" si="1"/>
        <v>259428.69047296391</v>
      </c>
      <c r="K20" s="22">
        <f t="shared" si="2"/>
        <v>259428.69047296391</v>
      </c>
      <c r="L20" s="15" t="s">
        <v>4</v>
      </c>
      <c r="M20" s="3">
        <v>20210401</v>
      </c>
      <c r="N20" s="15" t="s">
        <v>164</v>
      </c>
      <c r="O20" s="3">
        <v>20309</v>
      </c>
      <c r="P20" s="3">
        <v>85</v>
      </c>
      <c r="Q20" s="4" t="s">
        <v>102</v>
      </c>
      <c r="R20" s="3">
        <v>3</v>
      </c>
      <c r="S20" s="6">
        <v>44161</v>
      </c>
      <c r="T20" s="4" t="s">
        <v>103</v>
      </c>
      <c r="U20" s="5" t="s">
        <v>22</v>
      </c>
      <c r="V20" s="4" t="s">
        <v>104</v>
      </c>
      <c r="W20" s="4" t="s">
        <v>27</v>
      </c>
      <c r="X20" s="4" t="s">
        <v>28</v>
      </c>
      <c r="Y20" s="4" t="s">
        <v>34</v>
      </c>
      <c r="Z20" s="4" t="s">
        <v>22</v>
      </c>
      <c r="AA20" s="3">
        <v>0</v>
      </c>
    </row>
    <row r="21" spans="1:27" x14ac:dyDescent="0.2">
      <c r="A21" s="3">
        <v>125064</v>
      </c>
      <c r="B21" s="4" t="s">
        <v>105</v>
      </c>
      <c r="C21" s="14">
        <f>VLOOKUP(B21,'HE pr. 29.03.'!A:B,2,0)</f>
        <v>5925.83</v>
      </c>
      <c r="D21" s="14">
        <f>VLOOKUP(B21,'Årsverk pr. 29.03.'!A:B,2,0)</f>
        <v>1646.77</v>
      </c>
      <c r="E21" s="21">
        <f>D21*Faktorer!$B$2</f>
        <v>1482.0930000000001</v>
      </c>
      <c r="F21" s="21">
        <f t="shared" si="0"/>
        <v>7407.9229999999998</v>
      </c>
      <c r="G21" s="22">
        <f>F21/Faktorer!$B$4*Faktorer!$B$3</f>
        <v>1546475.0671027149</v>
      </c>
      <c r="H21" s="9">
        <v>1</v>
      </c>
      <c r="I21" s="5">
        <v>1</v>
      </c>
      <c r="J21" s="22">
        <f t="shared" si="1"/>
        <v>1546475.0671027149</v>
      </c>
      <c r="K21" s="22">
        <f t="shared" si="2"/>
        <v>1546475.0671027149</v>
      </c>
      <c r="L21" s="15" t="s">
        <v>4</v>
      </c>
      <c r="M21" s="3">
        <v>20210401</v>
      </c>
      <c r="N21" s="15" t="s">
        <v>164</v>
      </c>
      <c r="O21" s="3">
        <v>20331</v>
      </c>
      <c r="P21" s="3">
        <v>85</v>
      </c>
      <c r="Q21" s="4" t="s">
        <v>106</v>
      </c>
      <c r="R21" s="3">
        <v>3</v>
      </c>
      <c r="S21" s="6">
        <v>44161</v>
      </c>
      <c r="T21" s="4" t="s">
        <v>107</v>
      </c>
      <c r="U21" s="5" t="s">
        <v>22</v>
      </c>
      <c r="V21" s="4" t="s">
        <v>108</v>
      </c>
      <c r="W21" s="4" t="s">
        <v>27</v>
      </c>
      <c r="X21" s="4" t="s">
        <v>28</v>
      </c>
      <c r="Y21" s="4" t="s">
        <v>96</v>
      </c>
      <c r="Z21" s="4" t="s">
        <v>22</v>
      </c>
      <c r="AA21" s="3">
        <v>0</v>
      </c>
    </row>
    <row r="22" spans="1:27" x14ac:dyDescent="0.2">
      <c r="A22" s="3">
        <v>125031</v>
      </c>
      <c r="B22" s="4" t="s">
        <v>109</v>
      </c>
      <c r="C22" s="14">
        <f>VLOOKUP(B22,'HE pr. 29.03.'!A:B,2,0)</f>
        <v>643.04</v>
      </c>
      <c r="D22" s="14">
        <f>VLOOKUP(B22,'Årsverk pr. 29.03.'!A:B,2,0)</f>
        <v>224.96</v>
      </c>
      <c r="E22" s="21">
        <f>D22*Faktorer!$B$2</f>
        <v>202.464</v>
      </c>
      <c r="F22" s="21">
        <f t="shared" si="0"/>
        <v>845.50399999999991</v>
      </c>
      <c r="G22" s="22">
        <f>F22/Faktorer!$B$4*Faktorer!$B$3</f>
        <v>176507.07966802758</v>
      </c>
      <c r="H22" s="9">
        <v>1</v>
      </c>
      <c r="I22" s="5">
        <v>1</v>
      </c>
      <c r="J22" s="22">
        <f t="shared" si="1"/>
        <v>176507.07966802758</v>
      </c>
      <c r="K22" s="22">
        <f t="shared" si="2"/>
        <v>176507.07966802758</v>
      </c>
      <c r="L22" s="15" t="s">
        <v>4</v>
      </c>
      <c r="M22" s="3">
        <v>20210401</v>
      </c>
      <c r="N22" s="15" t="s">
        <v>164</v>
      </c>
      <c r="O22" s="3">
        <v>20310</v>
      </c>
      <c r="P22" s="3">
        <v>85</v>
      </c>
      <c r="Q22" s="4" t="s">
        <v>110</v>
      </c>
      <c r="R22" s="3">
        <v>3</v>
      </c>
      <c r="S22" s="6">
        <v>44130</v>
      </c>
      <c r="T22" s="4" t="s">
        <v>111</v>
      </c>
      <c r="U22" s="5" t="s">
        <v>22</v>
      </c>
      <c r="V22" s="4" t="s">
        <v>112</v>
      </c>
      <c r="W22" s="4" t="s">
        <v>27</v>
      </c>
      <c r="X22" s="4" t="s">
        <v>28</v>
      </c>
      <c r="Y22" s="4" t="s">
        <v>34</v>
      </c>
      <c r="Z22" s="4" t="s">
        <v>22</v>
      </c>
      <c r="AA22" s="3">
        <v>0</v>
      </c>
    </row>
    <row r="23" spans="1:27" x14ac:dyDescent="0.2">
      <c r="A23" s="3">
        <v>125042</v>
      </c>
      <c r="B23" s="4" t="s">
        <v>114</v>
      </c>
      <c r="C23" s="14">
        <f>VLOOKUP(B23,'HE pr. 29.03.'!A:B,2,0)</f>
        <v>37763.26</v>
      </c>
      <c r="D23" s="14">
        <f>VLOOKUP(B23,'Årsverk pr. 29.03.'!A:B,2,0)</f>
        <v>7761.73</v>
      </c>
      <c r="E23" s="21">
        <f>D23*Faktorer!$B$2</f>
        <v>6985.5569999999998</v>
      </c>
      <c r="F23" s="21">
        <f t="shared" si="0"/>
        <v>44748.817000000003</v>
      </c>
      <c r="G23" s="22">
        <f>F23/Faktorer!$B$4*Faktorer!$B$3</f>
        <v>9341745.2871529739</v>
      </c>
      <c r="H23" s="9">
        <v>1</v>
      </c>
      <c r="I23" s="5">
        <v>1</v>
      </c>
      <c r="J23" s="22">
        <f t="shared" si="1"/>
        <v>9341745.2871529739</v>
      </c>
      <c r="K23" s="22">
        <f t="shared" si="2"/>
        <v>9341745.2871529739</v>
      </c>
      <c r="L23" s="15" t="s">
        <v>4</v>
      </c>
      <c r="M23" s="3">
        <v>20210401</v>
      </c>
      <c r="N23" s="15" t="s">
        <v>164</v>
      </c>
      <c r="O23" s="3">
        <v>20311</v>
      </c>
      <c r="P23" s="3">
        <v>85</v>
      </c>
      <c r="Q23" s="4" t="s">
        <v>115</v>
      </c>
      <c r="R23" s="3">
        <v>3</v>
      </c>
      <c r="S23" s="6">
        <v>44187</v>
      </c>
      <c r="T23" s="4" t="s">
        <v>116</v>
      </c>
      <c r="U23" s="5" t="s">
        <v>22</v>
      </c>
      <c r="V23" s="4" t="s">
        <v>117</v>
      </c>
      <c r="W23" s="4" t="s">
        <v>27</v>
      </c>
      <c r="X23" s="4" t="s">
        <v>28</v>
      </c>
      <c r="Y23" s="4" t="s">
        <v>96</v>
      </c>
      <c r="Z23" s="4" t="s">
        <v>22</v>
      </c>
      <c r="AA23" s="3">
        <v>0</v>
      </c>
    </row>
    <row r="24" spans="1:27" x14ac:dyDescent="0.2">
      <c r="A24" s="3">
        <v>125026</v>
      </c>
      <c r="B24" s="4" t="s">
        <v>118</v>
      </c>
      <c r="C24" s="14">
        <f>VLOOKUP(B24,'HE pr. 29.03.'!A:B,2,0)</f>
        <v>16843.05</v>
      </c>
      <c r="D24" s="14">
        <f>VLOOKUP(B24,'Årsverk pr. 29.03.'!A:B,2,0)</f>
        <v>2217.42</v>
      </c>
      <c r="E24" s="21">
        <f>D24*Faktorer!$B$2</f>
        <v>1995.6780000000001</v>
      </c>
      <c r="F24" s="21">
        <f t="shared" si="0"/>
        <v>18838.727999999999</v>
      </c>
      <c r="G24" s="22">
        <f>F24/Faktorer!$B$4*Faktorer!$B$3</f>
        <v>3932765.3848359105</v>
      </c>
      <c r="H24" s="9">
        <v>1</v>
      </c>
      <c r="I24" s="5">
        <v>1</v>
      </c>
      <c r="J24" s="22">
        <f t="shared" si="1"/>
        <v>3932765.3848359105</v>
      </c>
      <c r="K24" s="22">
        <f t="shared" si="2"/>
        <v>3932765.3848359105</v>
      </c>
      <c r="L24" s="15" t="s">
        <v>4</v>
      </c>
      <c r="M24" s="3">
        <v>20210401</v>
      </c>
      <c r="N24" s="15" t="s">
        <v>164</v>
      </c>
      <c r="O24" s="3">
        <v>20305</v>
      </c>
      <c r="P24" s="3">
        <v>85</v>
      </c>
      <c r="Q24" s="4" t="s">
        <v>119</v>
      </c>
      <c r="R24" s="3">
        <v>3</v>
      </c>
      <c r="S24" s="6">
        <v>44236</v>
      </c>
      <c r="T24" s="4" t="s">
        <v>120</v>
      </c>
      <c r="U24" s="5" t="s">
        <v>22</v>
      </c>
      <c r="V24" s="4" t="s">
        <v>121</v>
      </c>
      <c r="W24" s="4" t="s">
        <v>27</v>
      </c>
      <c r="X24" s="4" t="s">
        <v>28</v>
      </c>
      <c r="Y24" s="4" t="s">
        <v>96</v>
      </c>
      <c r="Z24" s="4" t="s">
        <v>22</v>
      </c>
      <c r="AA24" s="3">
        <v>0</v>
      </c>
    </row>
    <row r="25" spans="1:27" x14ac:dyDescent="0.2">
      <c r="A25" s="3">
        <v>125066</v>
      </c>
      <c r="B25" s="4" t="s">
        <v>122</v>
      </c>
      <c r="C25" s="14">
        <f>VLOOKUP(B25,'HE pr. 29.03.'!A:B,2,0)</f>
        <v>1863.66</v>
      </c>
      <c r="D25" s="14">
        <f>VLOOKUP(B25,'Årsverk pr. 29.03.'!A:B,2,0)</f>
        <v>368.1</v>
      </c>
      <c r="E25" s="21">
        <f>D25*Faktorer!$B$2</f>
        <v>331.29</v>
      </c>
      <c r="F25" s="21">
        <f t="shared" si="0"/>
        <v>2194.9500000000003</v>
      </c>
      <c r="G25" s="22">
        <f>F25/Faktorer!$B$4*Faktorer!$B$3</f>
        <v>458216.89136578556</v>
      </c>
      <c r="H25" s="9">
        <v>1</v>
      </c>
      <c r="I25" s="5">
        <v>1</v>
      </c>
      <c r="J25" s="22">
        <f t="shared" si="1"/>
        <v>458216.89136578556</v>
      </c>
      <c r="K25" s="22">
        <f t="shared" si="2"/>
        <v>458216.89136578556</v>
      </c>
      <c r="L25" s="15" t="s">
        <v>4</v>
      </c>
      <c r="M25" s="3">
        <v>20210401</v>
      </c>
      <c r="N25" s="15" t="s">
        <v>164</v>
      </c>
      <c r="O25" s="3">
        <v>20333</v>
      </c>
      <c r="P25" s="3">
        <v>85</v>
      </c>
      <c r="Q25" s="4" t="s">
        <v>123</v>
      </c>
      <c r="R25" s="3">
        <v>3</v>
      </c>
      <c r="S25" s="6">
        <v>44239</v>
      </c>
      <c r="T25" s="4" t="s">
        <v>124</v>
      </c>
      <c r="U25" s="5" t="s">
        <v>22</v>
      </c>
      <c r="V25" s="4" t="s">
        <v>125</v>
      </c>
      <c r="W25" s="4" t="s">
        <v>27</v>
      </c>
      <c r="X25" s="4" t="s">
        <v>28</v>
      </c>
      <c r="Y25" s="4" t="s">
        <v>47</v>
      </c>
      <c r="Z25" s="4" t="s">
        <v>22</v>
      </c>
      <c r="AA25" s="3">
        <v>0</v>
      </c>
    </row>
    <row r="26" spans="1:27" x14ac:dyDescent="0.2">
      <c r="A26" s="3">
        <v>125001</v>
      </c>
      <c r="B26" s="4" t="s">
        <v>126</v>
      </c>
      <c r="C26" s="14">
        <f>VLOOKUP(B26,'HE pr. 29.03.'!A:B,2,0)</f>
        <v>97.86</v>
      </c>
      <c r="D26" s="14">
        <f>VLOOKUP(B26,'Årsverk pr. 29.03.'!A:B,2,0)</f>
        <v>112.63</v>
      </c>
      <c r="E26" s="21">
        <f>D26*Faktorer!$B$2</f>
        <v>101.367</v>
      </c>
      <c r="F26" s="21">
        <f t="shared" si="0"/>
        <v>199.227</v>
      </c>
      <c r="G26" s="22">
        <f>F26/Faktorer!$B$4*Faktorer!$B$3</f>
        <v>41590.549495948137</v>
      </c>
      <c r="H26" s="9">
        <v>1</v>
      </c>
      <c r="I26" s="5">
        <v>1</v>
      </c>
      <c r="J26" s="22">
        <f t="shared" si="1"/>
        <v>41590.549495948137</v>
      </c>
      <c r="K26" s="22">
        <f t="shared" si="2"/>
        <v>41590.549495948137</v>
      </c>
      <c r="L26" s="15" t="s">
        <v>4</v>
      </c>
      <c r="M26" s="3">
        <v>20210401</v>
      </c>
      <c r="N26" s="15" t="s">
        <v>164</v>
      </c>
      <c r="O26" s="3">
        <v>20280</v>
      </c>
      <c r="P26" s="3">
        <v>85</v>
      </c>
      <c r="Q26" s="4" t="s">
        <v>127</v>
      </c>
      <c r="R26" s="3">
        <v>3</v>
      </c>
      <c r="S26" s="6">
        <v>44174</v>
      </c>
      <c r="T26" s="4" t="s">
        <v>128</v>
      </c>
      <c r="U26" s="5" t="s">
        <v>22</v>
      </c>
      <c r="V26" s="4" t="s">
        <v>129</v>
      </c>
      <c r="W26" s="4" t="s">
        <v>27</v>
      </c>
      <c r="X26" s="4" t="s">
        <v>28</v>
      </c>
      <c r="Y26" s="4" t="s">
        <v>47</v>
      </c>
      <c r="Z26" s="4" t="s">
        <v>22</v>
      </c>
      <c r="AA26" s="3">
        <v>0</v>
      </c>
    </row>
    <row r="27" spans="1:27" x14ac:dyDescent="0.2">
      <c r="A27" s="3">
        <v>125041</v>
      </c>
      <c r="B27" s="4" t="s">
        <v>130</v>
      </c>
      <c r="C27" s="14">
        <f>VLOOKUP(B27,'HE pr. 29.03.'!A:B,2,0)</f>
        <v>14812.41</v>
      </c>
      <c r="D27" s="14">
        <f>VLOOKUP(B27,'Årsverk pr. 29.03.'!A:B,2,0)</f>
        <v>3724.51</v>
      </c>
      <c r="E27" s="21">
        <f>D27*Faktorer!$B$2</f>
        <v>3352.0590000000002</v>
      </c>
      <c r="F27" s="21">
        <f t="shared" si="0"/>
        <v>18164.469000000001</v>
      </c>
      <c r="G27" s="22">
        <f>F27/Faktorer!$B$4*Faktorer!$B$3</f>
        <v>3792007.3434429849</v>
      </c>
      <c r="H27" s="9">
        <v>1</v>
      </c>
      <c r="I27" s="5">
        <v>1</v>
      </c>
      <c r="J27" s="22">
        <f t="shared" si="1"/>
        <v>3792007.3434429849</v>
      </c>
      <c r="K27" s="22">
        <f t="shared" si="2"/>
        <v>3792007.3434429849</v>
      </c>
      <c r="L27" s="15" t="s">
        <v>4</v>
      </c>
      <c r="M27" s="3">
        <v>20210401</v>
      </c>
      <c r="N27" s="15" t="s">
        <v>164</v>
      </c>
      <c r="O27" s="3">
        <v>20314</v>
      </c>
      <c r="P27" s="3">
        <v>85</v>
      </c>
      <c r="Q27" s="4" t="s">
        <v>131</v>
      </c>
      <c r="R27" s="3">
        <v>3</v>
      </c>
      <c r="S27" s="6">
        <v>44153</v>
      </c>
      <c r="T27" s="4" t="s">
        <v>132</v>
      </c>
      <c r="U27" s="5" t="s">
        <v>22</v>
      </c>
      <c r="V27" s="4" t="s">
        <v>133</v>
      </c>
      <c r="W27" s="4" t="s">
        <v>27</v>
      </c>
      <c r="X27" s="4" t="s">
        <v>28</v>
      </c>
      <c r="Y27" s="4" t="s">
        <v>96</v>
      </c>
      <c r="Z27" s="4" t="s">
        <v>22</v>
      </c>
      <c r="AA27" s="3">
        <v>0</v>
      </c>
    </row>
    <row r="28" spans="1:27" x14ac:dyDescent="0.2">
      <c r="A28" s="3">
        <v>125017</v>
      </c>
      <c r="B28" s="4" t="s">
        <v>134</v>
      </c>
      <c r="C28" s="14">
        <f>VLOOKUP(B28,'HE pr. 29.03.'!A:B,2,0)</f>
        <v>11201.1</v>
      </c>
      <c r="D28" s="14">
        <f>VLOOKUP(B28,'Årsverk pr. 29.03.'!A:B,2,0)</f>
        <v>1503.95</v>
      </c>
      <c r="E28" s="21">
        <f>D28*Faktorer!$B$2</f>
        <v>1353.5550000000001</v>
      </c>
      <c r="F28" s="21">
        <f t="shared" si="0"/>
        <v>12554.655000000001</v>
      </c>
      <c r="G28" s="22">
        <f>F28/Faktorer!$B$4*Faktorer!$B$3</f>
        <v>2620904.7979543572</v>
      </c>
      <c r="H28" s="9">
        <v>1</v>
      </c>
      <c r="I28" s="5">
        <v>1</v>
      </c>
      <c r="J28" s="22">
        <f t="shared" si="1"/>
        <v>2620904.7979543572</v>
      </c>
      <c r="K28" s="22">
        <f t="shared" si="2"/>
        <v>2620904.7979543572</v>
      </c>
      <c r="L28" s="15" t="s">
        <v>4</v>
      </c>
      <c r="M28" s="3">
        <v>20210401</v>
      </c>
      <c r="N28" s="15" t="s">
        <v>164</v>
      </c>
      <c r="O28" s="3">
        <v>20296</v>
      </c>
      <c r="P28" s="3">
        <v>85</v>
      </c>
      <c r="Q28" s="4" t="s">
        <v>135</v>
      </c>
      <c r="R28" s="3">
        <v>3</v>
      </c>
      <c r="S28" s="6">
        <v>44144</v>
      </c>
      <c r="T28" s="4" t="s">
        <v>136</v>
      </c>
      <c r="U28" s="5" t="s">
        <v>22</v>
      </c>
      <c r="V28" s="4" t="s">
        <v>137</v>
      </c>
      <c r="W28" s="4" t="s">
        <v>27</v>
      </c>
      <c r="X28" s="4" t="s">
        <v>28</v>
      </c>
      <c r="Y28" s="4" t="s">
        <v>96</v>
      </c>
      <c r="Z28" s="4" t="s">
        <v>22</v>
      </c>
      <c r="AA28" s="3">
        <v>0</v>
      </c>
    </row>
    <row r="29" spans="1:27" x14ac:dyDescent="0.2">
      <c r="A29" s="3">
        <v>125039</v>
      </c>
      <c r="B29" s="4" t="s">
        <v>138</v>
      </c>
      <c r="C29" s="14">
        <f>VLOOKUP(B29,'HE pr. 29.03.'!A:B,2,0)</f>
        <v>17158.07</v>
      </c>
      <c r="D29" s="14">
        <f>VLOOKUP(B29,'Årsverk pr. 29.03.'!A:B,2,0)</f>
        <v>4157.71</v>
      </c>
      <c r="E29" s="21">
        <f>D29*Faktorer!$B$2</f>
        <v>3741.9390000000003</v>
      </c>
      <c r="F29" s="21">
        <f t="shared" si="0"/>
        <v>20900.008999999998</v>
      </c>
      <c r="G29" s="22">
        <f>F29/Faktorer!$B$4*Faktorer!$B$3</f>
        <v>4363077.5887819491</v>
      </c>
      <c r="H29" s="9">
        <v>1</v>
      </c>
      <c r="I29" s="5">
        <v>1</v>
      </c>
      <c r="J29" s="22">
        <f t="shared" si="1"/>
        <v>4363077.5887819491</v>
      </c>
      <c r="K29" s="22">
        <f t="shared" si="2"/>
        <v>4363077.5887819491</v>
      </c>
      <c r="L29" s="15" t="s">
        <v>4</v>
      </c>
      <c r="M29" s="3">
        <v>20210401</v>
      </c>
      <c r="N29" s="15" t="s">
        <v>164</v>
      </c>
      <c r="O29" s="3">
        <v>20312</v>
      </c>
      <c r="P29" s="3">
        <v>85</v>
      </c>
      <c r="Q29" s="4" t="s">
        <v>139</v>
      </c>
      <c r="R29" s="3">
        <v>3</v>
      </c>
      <c r="S29" s="6">
        <v>44194</v>
      </c>
      <c r="T29" s="4" t="s">
        <v>140</v>
      </c>
      <c r="U29" s="5" t="s">
        <v>22</v>
      </c>
      <c r="V29" s="4" t="s">
        <v>141</v>
      </c>
      <c r="W29" s="4" t="s">
        <v>27</v>
      </c>
      <c r="X29" s="4" t="s">
        <v>28</v>
      </c>
      <c r="Y29" s="4" t="s">
        <v>96</v>
      </c>
      <c r="Z29" s="4" t="s">
        <v>22</v>
      </c>
      <c r="AA29" s="3">
        <v>0</v>
      </c>
    </row>
    <row r="30" spans="1:27" x14ac:dyDescent="0.2">
      <c r="A30" s="3">
        <v>125040</v>
      </c>
      <c r="B30" s="4" t="s">
        <v>142</v>
      </c>
      <c r="C30" s="14">
        <f>VLOOKUP(B30,'HE pr. 29.03.'!A:B,2,0)</f>
        <v>22678.82</v>
      </c>
      <c r="D30" s="14">
        <f>VLOOKUP(B30,'Årsverk pr. 29.03.'!A:B,2,0)</f>
        <v>6685.39</v>
      </c>
      <c r="E30" s="21">
        <f>D30*Faktorer!$B$2</f>
        <v>6016.8510000000006</v>
      </c>
      <c r="F30" s="21">
        <f t="shared" si="0"/>
        <v>28695.671000000002</v>
      </c>
      <c r="G30" s="22">
        <f>F30/Faktorer!$B$4*Faktorer!$B$3</f>
        <v>5990496.8957267012</v>
      </c>
      <c r="H30" s="9">
        <v>1</v>
      </c>
      <c r="I30" s="5">
        <v>1</v>
      </c>
      <c r="J30" s="22">
        <f t="shared" si="1"/>
        <v>5990496.8957267012</v>
      </c>
      <c r="K30" s="22">
        <f t="shared" si="2"/>
        <v>5990496.8957267012</v>
      </c>
      <c r="L30" s="15" t="s">
        <v>4</v>
      </c>
      <c r="M30" s="3">
        <v>20210401</v>
      </c>
      <c r="N30" s="15" t="s">
        <v>164</v>
      </c>
      <c r="O30" s="3">
        <v>20313</v>
      </c>
      <c r="P30" s="3">
        <v>85</v>
      </c>
      <c r="Q30" s="4" t="s">
        <v>143</v>
      </c>
      <c r="R30" s="3">
        <v>3</v>
      </c>
      <c r="S30" s="6">
        <v>44172</v>
      </c>
      <c r="T30" s="4" t="s">
        <v>144</v>
      </c>
      <c r="U30" s="5" t="s">
        <v>22</v>
      </c>
      <c r="V30" s="4" t="s">
        <v>145</v>
      </c>
      <c r="W30" s="4" t="s">
        <v>27</v>
      </c>
      <c r="X30" s="4" t="s">
        <v>28</v>
      </c>
      <c r="Y30" s="4" t="s">
        <v>96</v>
      </c>
      <c r="Z30" s="4" t="s">
        <v>22</v>
      </c>
      <c r="AA30" s="3">
        <v>0</v>
      </c>
    </row>
    <row r="31" spans="1:27" x14ac:dyDescent="0.2">
      <c r="A31" s="3">
        <v>125016</v>
      </c>
      <c r="B31" s="4" t="s">
        <v>146</v>
      </c>
      <c r="C31" s="14">
        <f>VLOOKUP(B31,'HE pr. 29.03.'!A:B,2,0)</f>
        <v>10131.780000000001</v>
      </c>
      <c r="D31" s="14">
        <f>VLOOKUP(B31,'Årsverk pr. 29.03.'!A:B,2,0)</f>
        <v>1610.72</v>
      </c>
      <c r="E31" s="21">
        <f>D31*Faktorer!$B$2</f>
        <v>1449.6480000000001</v>
      </c>
      <c r="F31" s="21">
        <f t="shared" si="0"/>
        <v>11581.428</v>
      </c>
      <c r="G31" s="22">
        <f>F31/Faktorer!$B$4*Faktorer!$B$3</f>
        <v>2417734.3154680822</v>
      </c>
      <c r="H31" s="9">
        <v>1</v>
      </c>
      <c r="I31" s="5">
        <v>1</v>
      </c>
      <c r="J31" s="22">
        <f t="shared" si="1"/>
        <v>2417734.3154680822</v>
      </c>
      <c r="K31" s="22">
        <f t="shared" si="2"/>
        <v>2417734.3154680822</v>
      </c>
      <c r="L31" s="15" t="s">
        <v>4</v>
      </c>
      <c r="M31" s="3">
        <v>20210401</v>
      </c>
      <c r="N31" s="15" t="s">
        <v>164</v>
      </c>
      <c r="O31" s="3">
        <v>20295</v>
      </c>
      <c r="P31" s="3">
        <v>85</v>
      </c>
      <c r="Q31" s="4" t="s">
        <v>147</v>
      </c>
      <c r="R31" s="3">
        <v>3</v>
      </c>
      <c r="S31" s="6">
        <v>44137</v>
      </c>
      <c r="T31" s="4" t="s">
        <v>148</v>
      </c>
      <c r="U31" s="5" t="s">
        <v>22</v>
      </c>
      <c r="V31" s="4" t="s">
        <v>149</v>
      </c>
      <c r="W31" s="4" t="s">
        <v>27</v>
      </c>
      <c r="X31" s="4" t="s">
        <v>28</v>
      </c>
      <c r="Y31" s="4" t="s">
        <v>96</v>
      </c>
      <c r="Z31" s="4" t="s">
        <v>22</v>
      </c>
      <c r="AA31" s="3">
        <v>0</v>
      </c>
    </row>
    <row r="32" spans="1:27" x14ac:dyDescent="0.2">
      <c r="A32" s="3">
        <v>404528</v>
      </c>
      <c r="B32" s="4" t="s">
        <v>150</v>
      </c>
      <c r="C32" s="14">
        <f>VLOOKUP(B32,'HE pr. 29.03.'!A:B,2,0)</f>
        <v>14105.71</v>
      </c>
      <c r="D32" s="14">
        <f>VLOOKUP(B32,'Årsverk pr. 29.03.'!A:B,2,0)</f>
        <v>1782.38</v>
      </c>
      <c r="E32" s="21">
        <f>D32*Faktorer!$B$2</f>
        <v>1604.1420000000001</v>
      </c>
      <c r="F32" s="21">
        <f t="shared" si="0"/>
        <v>15709.851999999999</v>
      </c>
      <c r="G32" s="22">
        <f>F32/Faktorer!$B$4*Faktorer!$B$3</f>
        <v>3279582.4721549777</v>
      </c>
      <c r="H32" s="9">
        <v>1</v>
      </c>
      <c r="I32" s="5">
        <v>1</v>
      </c>
      <c r="J32" s="22">
        <f t="shared" si="1"/>
        <v>3279582.4721549777</v>
      </c>
      <c r="K32" s="22">
        <f t="shared" si="2"/>
        <v>3279582.4721549777</v>
      </c>
      <c r="L32" s="15" t="s">
        <v>4</v>
      </c>
      <c r="M32" s="3">
        <v>20210401</v>
      </c>
      <c r="N32" s="15" t="s">
        <v>164</v>
      </c>
      <c r="O32" s="3">
        <v>229411</v>
      </c>
      <c r="P32" s="3">
        <v>85</v>
      </c>
      <c r="Q32" s="4" t="s">
        <v>151</v>
      </c>
      <c r="R32" s="3">
        <v>3</v>
      </c>
      <c r="S32" s="6">
        <v>44186</v>
      </c>
      <c r="T32" s="4" t="s">
        <v>152</v>
      </c>
      <c r="U32" s="5" t="s">
        <v>22</v>
      </c>
      <c r="V32" s="4" t="s">
        <v>153</v>
      </c>
      <c r="W32" s="4" t="s">
        <v>27</v>
      </c>
      <c r="X32" s="4" t="s">
        <v>28</v>
      </c>
      <c r="Y32" s="4" t="s">
        <v>96</v>
      </c>
      <c r="Z32" s="4" t="s">
        <v>22</v>
      </c>
      <c r="AA32" s="3">
        <v>0</v>
      </c>
    </row>
    <row r="33" spans="1:27" x14ac:dyDescent="0.2">
      <c r="A33" s="3">
        <v>404532</v>
      </c>
      <c r="B33" s="4" t="s">
        <v>154</v>
      </c>
      <c r="C33" s="14">
        <f>VLOOKUP(B33,'HE pr. 29.03.'!A:B,2,0)</f>
        <v>4060.25</v>
      </c>
      <c r="D33" s="14">
        <f>VLOOKUP(B33,'Årsverk pr. 29.03.'!A:B,2,0)</f>
        <v>444.7</v>
      </c>
      <c r="E33" s="21">
        <f>D33*Faktorer!$B$2</f>
        <v>400.23</v>
      </c>
      <c r="F33" s="21">
        <f t="shared" si="0"/>
        <v>4460.4799999999996</v>
      </c>
      <c r="G33" s="22">
        <f>F33/Faktorer!$B$4*Faktorer!$B$3</f>
        <v>931168.03553577932</v>
      </c>
      <c r="H33" s="9">
        <v>1</v>
      </c>
      <c r="I33" s="5">
        <v>1</v>
      </c>
      <c r="J33" s="22">
        <f t="shared" si="1"/>
        <v>931168.03553577932</v>
      </c>
      <c r="K33" s="22">
        <f t="shared" si="2"/>
        <v>931168.03553577932</v>
      </c>
      <c r="L33" s="15" t="s">
        <v>4</v>
      </c>
      <c r="M33" s="3">
        <v>20210401</v>
      </c>
      <c r="N33" s="15" t="s">
        <v>164</v>
      </c>
      <c r="O33" s="3">
        <v>229414</v>
      </c>
      <c r="P33" s="3">
        <v>85</v>
      </c>
      <c r="Q33" s="4" t="s">
        <v>155</v>
      </c>
      <c r="R33" s="3">
        <v>3</v>
      </c>
      <c r="S33" s="6">
        <v>44224</v>
      </c>
      <c r="T33" s="4" t="s">
        <v>156</v>
      </c>
      <c r="U33" s="5" t="s">
        <v>22</v>
      </c>
      <c r="V33" s="4" t="s">
        <v>157</v>
      </c>
      <c r="W33" s="4" t="s">
        <v>27</v>
      </c>
      <c r="X33" s="4" t="s">
        <v>28</v>
      </c>
      <c r="Y33" s="4" t="s">
        <v>29</v>
      </c>
      <c r="Z33" s="4" t="s">
        <v>22</v>
      </c>
      <c r="AA33" s="3">
        <v>0</v>
      </c>
    </row>
    <row r="34" spans="1:27" x14ac:dyDescent="0.2">
      <c r="G34" s="8"/>
      <c r="H34" s="8"/>
    </row>
    <row r="35" spans="1:27" s="10" customFormat="1" x14ac:dyDescent="0.2">
      <c r="G35" s="8"/>
      <c r="H35" s="8"/>
    </row>
  </sheetData>
  <phoneticPr fontId="0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3C85-C921-44E9-B45F-DC9D202F2E78}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5.42578125" bestFit="1" customWidth="1"/>
    <col min="2" max="2" width="12.7109375" bestFit="1" customWidth="1"/>
  </cols>
  <sheetData>
    <row r="1" spans="1:2" ht="15.75" x14ac:dyDescent="0.25">
      <c r="A1" s="16" t="s">
        <v>165</v>
      </c>
      <c r="B1" s="17"/>
    </row>
    <row r="2" spans="1:2" ht="15" x14ac:dyDescent="0.2">
      <c r="A2" s="18" t="s">
        <v>160</v>
      </c>
      <c r="B2" s="23">
        <v>0.9</v>
      </c>
    </row>
    <row r="3" spans="1:2" ht="15" x14ac:dyDescent="0.2">
      <c r="A3" s="18" t="s">
        <v>161</v>
      </c>
      <c r="B3" s="19">
        <v>58000000</v>
      </c>
    </row>
    <row r="4" spans="1:2" ht="15" x14ac:dyDescent="0.2">
      <c r="A4" s="18" t="s">
        <v>166</v>
      </c>
      <c r="B4" s="24">
        <f>SUM('Mal beregning'!F:F)</f>
        <v>277831.53000000003</v>
      </c>
    </row>
    <row r="5" spans="1:2" ht="15" x14ac:dyDescent="0.2">
      <c r="A5" s="20" t="s">
        <v>205</v>
      </c>
      <c r="B5" s="25">
        <f>B3/B4</f>
        <v>208.75960334667556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684BA-908E-4C3E-8E17-AA99EC15BD2E}">
  <dimension ref="A1:B50"/>
  <sheetViews>
    <sheetView workbookViewId="0">
      <selection activeCell="B9" sqref="B9"/>
    </sheetView>
  </sheetViews>
  <sheetFormatPr baseColWidth="10" defaultRowHeight="12.75" x14ac:dyDescent="0.2"/>
  <cols>
    <col min="1" max="1" width="48.85546875" style="27" bestFit="1" customWidth="1"/>
    <col min="2" max="2" width="24" style="27" bestFit="1" customWidth="1"/>
    <col min="3" max="16384" width="11.42578125" style="27"/>
  </cols>
  <sheetData>
    <row r="1" spans="1:2" ht="15" x14ac:dyDescent="0.2">
      <c r="A1" s="35" t="s">
        <v>167</v>
      </c>
      <c r="B1" s="26">
        <v>2021</v>
      </c>
    </row>
    <row r="2" spans="1:2" ht="15" x14ac:dyDescent="0.2">
      <c r="A2" s="35"/>
      <c r="B2" s="26" t="s">
        <v>168</v>
      </c>
    </row>
    <row r="3" spans="1:2" x14ac:dyDescent="0.2">
      <c r="A3" s="13" t="s">
        <v>23</v>
      </c>
      <c r="B3" s="27">
        <v>334.5</v>
      </c>
    </row>
    <row r="4" spans="1:2" x14ac:dyDescent="0.2">
      <c r="A4" s="27" t="s">
        <v>30</v>
      </c>
      <c r="B4" s="27">
        <v>695</v>
      </c>
    </row>
    <row r="5" spans="1:2" x14ac:dyDescent="0.2">
      <c r="A5" s="27" t="s">
        <v>169</v>
      </c>
      <c r="B5" s="27">
        <v>148.5</v>
      </c>
    </row>
    <row r="6" spans="1:2" x14ac:dyDescent="0.2">
      <c r="A6" s="27" t="s">
        <v>170</v>
      </c>
      <c r="B6" s="27">
        <v>170</v>
      </c>
    </row>
    <row r="7" spans="1:2" x14ac:dyDescent="0.2">
      <c r="A7" s="27" t="s">
        <v>35</v>
      </c>
      <c r="B7" s="27">
        <v>1199.67</v>
      </c>
    </row>
    <row r="8" spans="1:2" x14ac:dyDescent="0.2">
      <c r="A8" s="27" t="s">
        <v>171</v>
      </c>
      <c r="B8" s="27">
        <v>290</v>
      </c>
    </row>
    <row r="9" spans="1:2" x14ac:dyDescent="0.2">
      <c r="A9" s="13" t="s">
        <v>43</v>
      </c>
      <c r="B9" s="27">
        <v>830</v>
      </c>
    </row>
    <row r="10" spans="1:2" x14ac:dyDescent="0.2">
      <c r="A10" s="27" t="s">
        <v>172</v>
      </c>
      <c r="B10" s="27">
        <v>16159.1</v>
      </c>
    </row>
    <row r="11" spans="1:2" x14ac:dyDescent="0.2">
      <c r="A11" s="27" t="s">
        <v>53</v>
      </c>
      <c r="B11" s="27">
        <v>11349.5</v>
      </c>
    </row>
    <row r="12" spans="1:2" x14ac:dyDescent="0.2">
      <c r="A12" s="13" t="s">
        <v>57</v>
      </c>
      <c r="B12" s="27">
        <v>2183.14</v>
      </c>
    </row>
    <row r="13" spans="1:2" x14ac:dyDescent="0.2">
      <c r="A13" s="27" t="s">
        <v>61</v>
      </c>
      <c r="B13" s="27">
        <v>5494.42</v>
      </c>
    </row>
    <row r="14" spans="1:2" x14ac:dyDescent="0.2">
      <c r="A14" s="27" t="s">
        <v>173</v>
      </c>
      <c r="B14" s="27">
        <v>36.5</v>
      </c>
    </row>
    <row r="15" spans="1:2" x14ac:dyDescent="0.2">
      <c r="A15" s="27" t="s">
        <v>65</v>
      </c>
      <c r="B15" s="27">
        <v>2966.38</v>
      </c>
    </row>
    <row r="16" spans="1:2" x14ac:dyDescent="0.2">
      <c r="A16" s="27" t="s">
        <v>69</v>
      </c>
      <c r="B16" s="27">
        <v>13473.91</v>
      </c>
    </row>
    <row r="17" spans="1:2" x14ac:dyDescent="0.2">
      <c r="A17" s="27" t="s">
        <v>174</v>
      </c>
      <c r="B17" s="27">
        <v>10</v>
      </c>
    </row>
    <row r="18" spans="1:2" x14ac:dyDescent="0.2">
      <c r="A18" s="27" t="s">
        <v>175</v>
      </c>
      <c r="B18" s="27">
        <v>214.25</v>
      </c>
    </row>
    <row r="19" spans="1:2" x14ac:dyDescent="0.2">
      <c r="A19" s="27" t="s">
        <v>176</v>
      </c>
      <c r="B19" s="27">
        <v>40</v>
      </c>
    </row>
    <row r="20" spans="1:2" x14ac:dyDescent="0.2">
      <c r="A20" s="27" t="s">
        <v>72</v>
      </c>
      <c r="B20" s="27">
        <v>10655.85</v>
      </c>
    </row>
    <row r="21" spans="1:2" x14ac:dyDescent="0.2">
      <c r="A21" s="27" t="s">
        <v>177</v>
      </c>
      <c r="B21" s="27">
        <v>260</v>
      </c>
    </row>
    <row r="22" spans="1:2" x14ac:dyDescent="0.2">
      <c r="A22" s="27" t="s">
        <v>178</v>
      </c>
      <c r="B22" s="27">
        <v>575</v>
      </c>
    </row>
    <row r="23" spans="1:2" x14ac:dyDescent="0.2">
      <c r="A23" s="27" t="s">
        <v>179</v>
      </c>
      <c r="B23" s="27">
        <v>50</v>
      </c>
    </row>
    <row r="24" spans="1:2" x14ac:dyDescent="0.2">
      <c r="A24" s="27" t="s">
        <v>180</v>
      </c>
      <c r="B24" s="27">
        <v>972.75</v>
      </c>
    </row>
    <row r="25" spans="1:2" x14ac:dyDescent="0.2">
      <c r="A25" s="27" t="s">
        <v>84</v>
      </c>
      <c r="B25" s="27">
        <v>1022.24</v>
      </c>
    </row>
    <row r="26" spans="1:2" x14ac:dyDescent="0.2">
      <c r="A26" s="27" t="s">
        <v>88</v>
      </c>
      <c r="B26" s="27">
        <v>2259.17</v>
      </c>
    </row>
    <row r="27" spans="1:2" x14ac:dyDescent="0.2">
      <c r="A27" s="27" t="s">
        <v>92</v>
      </c>
      <c r="B27" s="27">
        <v>8703.8799999999992</v>
      </c>
    </row>
    <row r="28" spans="1:2" x14ac:dyDescent="0.2">
      <c r="A28" s="27" t="s">
        <v>181</v>
      </c>
      <c r="B28" s="27">
        <v>15</v>
      </c>
    </row>
    <row r="29" spans="1:2" x14ac:dyDescent="0.2">
      <c r="A29" s="27" t="s">
        <v>182</v>
      </c>
      <c r="B29" s="27">
        <v>3428.02</v>
      </c>
    </row>
    <row r="30" spans="1:2" x14ac:dyDescent="0.2">
      <c r="A30" s="27" t="s">
        <v>101</v>
      </c>
      <c r="B30" s="27">
        <v>1033.78</v>
      </c>
    </row>
    <row r="31" spans="1:2" x14ac:dyDescent="0.2">
      <c r="A31" s="13" t="s">
        <v>105</v>
      </c>
      <c r="B31" s="27">
        <v>5925.83</v>
      </c>
    </row>
    <row r="32" spans="1:2" x14ac:dyDescent="0.2">
      <c r="A32" s="27" t="s">
        <v>109</v>
      </c>
      <c r="B32" s="27">
        <v>643.04</v>
      </c>
    </row>
    <row r="33" spans="1:2" x14ac:dyDescent="0.2">
      <c r="A33" s="13" t="s">
        <v>114</v>
      </c>
      <c r="B33" s="27">
        <v>37763.26</v>
      </c>
    </row>
    <row r="34" spans="1:2" x14ac:dyDescent="0.2">
      <c r="A34" s="27" t="s">
        <v>183</v>
      </c>
      <c r="B34" s="27">
        <v>550</v>
      </c>
    </row>
    <row r="35" spans="1:2" x14ac:dyDescent="0.2">
      <c r="A35" s="27" t="s">
        <v>113</v>
      </c>
      <c r="B35" s="27">
        <v>24.07</v>
      </c>
    </row>
    <row r="36" spans="1:2" x14ac:dyDescent="0.2">
      <c r="A36" s="27" t="s">
        <v>184</v>
      </c>
      <c r="B36" s="27">
        <v>136.5</v>
      </c>
    </row>
    <row r="37" spans="1:2" x14ac:dyDescent="0.2">
      <c r="A37" s="27" t="s">
        <v>185</v>
      </c>
      <c r="B37" s="27">
        <v>160</v>
      </c>
    </row>
    <row r="38" spans="1:2" x14ac:dyDescent="0.2">
      <c r="A38" s="13" t="s">
        <v>118</v>
      </c>
      <c r="B38" s="27">
        <v>16843.05</v>
      </c>
    </row>
    <row r="39" spans="1:2" x14ac:dyDescent="0.2">
      <c r="A39" s="27" t="s">
        <v>122</v>
      </c>
      <c r="B39" s="27">
        <v>1863.66</v>
      </c>
    </row>
    <row r="40" spans="1:2" x14ac:dyDescent="0.2">
      <c r="A40" s="27" t="s">
        <v>186</v>
      </c>
      <c r="B40" s="27">
        <v>97.86</v>
      </c>
    </row>
    <row r="41" spans="1:2" x14ac:dyDescent="0.2">
      <c r="A41" s="27" t="s">
        <v>187</v>
      </c>
      <c r="B41" s="27">
        <v>10</v>
      </c>
    </row>
    <row r="42" spans="1:2" x14ac:dyDescent="0.2">
      <c r="A42" s="27" t="s">
        <v>188</v>
      </c>
      <c r="B42" s="27">
        <v>198.63</v>
      </c>
    </row>
    <row r="43" spans="1:2" x14ac:dyDescent="0.2">
      <c r="A43" s="27" t="s">
        <v>189</v>
      </c>
      <c r="B43" s="27">
        <v>11201.1</v>
      </c>
    </row>
    <row r="44" spans="1:2" x14ac:dyDescent="0.2">
      <c r="A44" s="27" t="s">
        <v>190</v>
      </c>
      <c r="B44" s="27">
        <v>17158.07</v>
      </c>
    </row>
    <row r="45" spans="1:2" x14ac:dyDescent="0.2">
      <c r="A45" s="27" t="s">
        <v>191</v>
      </c>
      <c r="B45" s="27">
        <v>22678.82</v>
      </c>
    </row>
    <row r="46" spans="1:2" x14ac:dyDescent="0.2">
      <c r="A46" s="27" t="s">
        <v>192</v>
      </c>
      <c r="B46" s="27">
        <v>10131.780000000001</v>
      </c>
    </row>
    <row r="47" spans="1:2" x14ac:dyDescent="0.2">
      <c r="A47" s="13" t="s">
        <v>150</v>
      </c>
      <c r="B47" s="27">
        <v>14105.71</v>
      </c>
    </row>
    <row r="48" spans="1:2" x14ac:dyDescent="0.2">
      <c r="A48" s="13" t="s">
        <v>130</v>
      </c>
      <c r="B48" s="27">
        <v>14812.41</v>
      </c>
    </row>
    <row r="49" spans="1:2" x14ac:dyDescent="0.2">
      <c r="A49" s="13" t="s">
        <v>154</v>
      </c>
      <c r="B49" s="27">
        <v>4060.25</v>
      </c>
    </row>
    <row r="50" spans="1:2" x14ac:dyDescent="0.2">
      <c r="A50" s="27" t="s">
        <v>193</v>
      </c>
      <c r="B50" s="27">
        <v>242931.61</v>
      </c>
    </row>
  </sheetData>
  <mergeCells count="1"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4A2DD-2FB8-45DD-8697-DED825A60504}">
  <dimension ref="A1:B42"/>
  <sheetViews>
    <sheetView topLeftCell="A7" zoomScale="124" zoomScaleNormal="124" workbookViewId="0">
      <selection activeCell="B31" sqref="B31"/>
    </sheetView>
  </sheetViews>
  <sheetFormatPr baseColWidth="10" defaultRowHeight="12.75" x14ac:dyDescent="0.2"/>
  <cols>
    <col min="1" max="1" width="45.28515625" style="27" bestFit="1" customWidth="1"/>
    <col min="2" max="2" width="9" style="27" bestFit="1" customWidth="1"/>
    <col min="3" max="16384" width="11.42578125" style="27"/>
  </cols>
  <sheetData>
    <row r="1" spans="1:2" ht="15" x14ac:dyDescent="0.2">
      <c r="A1" s="35" t="s">
        <v>167</v>
      </c>
      <c r="B1" s="26">
        <v>2020</v>
      </c>
    </row>
    <row r="2" spans="1:2" ht="15" x14ac:dyDescent="0.2">
      <c r="A2" s="35"/>
      <c r="B2" s="26" t="s">
        <v>159</v>
      </c>
    </row>
    <row r="3" spans="1:2" x14ac:dyDescent="0.2">
      <c r="A3" s="13" t="s">
        <v>23</v>
      </c>
      <c r="B3" s="27">
        <v>24.8</v>
      </c>
    </row>
    <row r="4" spans="1:2" x14ac:dyDescent="0.2">
      <c r="A4" s="27" t="s">
        <v>30</v>
      </c>
      <c r="B4" s="27">
        <v>158.16</v>
      </c>
    </row>
    <row r="5" spans="1:2" x14ac:dyDescent="0.2">
      <c r="A5" s="27" t="s">
        <v>194</v>
      </c>
      <c r="B5" s="27">
        <v>20.32</v>
      </c>
    </row>
    <row r="6" spans="1:2" x14ac:dyDescent="0.2">
      <c r="A6" s="27" t="s">
        <v>170</v>
      </c>
      <c r="B6" s="27">
        <v>15</v>
      </c>
    </row>
    <row r="7" spans="1:2" x14ac:dyDescent="0.2">
      <c r="A7" s="27" t="s">
        <v>35</v>
      </c>
      <c r="B7" s="27">
        <v>149.35</v>
      </c>
    </row>
    <row r="8" spans="1:2" x14ac:dyDescent="0.2">
      <c r="A8" s="27" t="s">
        <v>171</v>
      </c>
      <c r="B8" s="27">
        <v>33.549999999999997</v>
      </c>
    </row>
    <row r="9" spans="1:2" x14ac:dyDescent="0.2">
      <c r="A9" s="27" t="s">
        <v>172</v>
      </c>
      <c r="B9" s="27">
        <v>839.58</v>
      </c>
    </row>
    <row r="10" spans="1:2" x14ac:dyDescent="0.2">
      <c r="A10" s="27" t="s">
        <v>53</v>
      </c>
      <c r="B10" s="27">
        <v>1093.8800000000001</v>
      </c>
    </row>
    <row r="11" spans="1:2" x14ac:dyDescent="0.2">
      <c r="A11" s="13" t="s">
        <v>57</v>
      </c>
      <c r="B11" s="27">
        <v>229.4</v>
      </c>
    </row>
    <row r="12" spans="1:2" x14ac:dyDescent="0.2">
      <c r="A12" s="27" t="s">
        <v>61</v>
      </c>
      <c r="B12" s="27">
        <v>605.46</v>
      </c>
    </row>
    <row r="13" spans="1:2" x14ac:dyDescent="0.2">
      <c r="A13" s="27" t="s">
        <v>173</v>
      </c>
      <c r="B13" s="27">
        <v>4.2</v>
      </c>
    </row>
    <row r="14" spans="1:2" x14ac:dyDescent="0.2">
      <c r="A14" s="27" t="s">
        <v>65</v>
      </c>
      <c r="B14" s="27">
        <v>352.75</v>
      </c>
    </row>
    <row r="15" spans="1:2" x14ac:dyDescent="0.2">
      <c r="A15" s="27" t="s">
        <v>69</v>
      </c>
      <c r="B15" s="27">
        <v>1797.27</v>
      </c>
    </row>
    <row r="16" spans="1:2" x14ac:dyDescent="0.2">
      <c r="A16" s="27" t="s">
        <v>174</v>
      </c>
      <c r="B16" s="27">
        <v>2.72</v>
      </c>
    </row>
    <row r="17" spans="1:2" x14ac:dyDescent="0.2">
      <c r="A17" s="27" t="s">
        <v>175</v>
      </c>
      <c r="B17" s="27">
        <v>21.95</v>
      </c>
    </row>
    <row r="18" spans="1:2" x14ac:dyDescent="0.2">
      <c r="A18" s="27" t="s">
        <v>72</v>
      </c>
      <c r="B18" s="27">
        <v>493.54</v>
      </c>
    </row>
    <row r="19" spans="1:2" x14ac:dyDescent="0.2">
      <c r="A19" s="27" t="s">
        <v>178</v>
      </c>
      <c r="B19" s="27">
        <v>199.47</v>
      </c>
    </row>
    <row r="20" spans="1:2" x14ac:dyDescent="0.2">
      <c r="A20" s="27" t="s">
        <v>180</v>
      </c>
      <c r="B20" s="27">
        <v>106.1</v>
      </c>
    </row>
    <row r="21" spans="1:2" x14ac:dyDescent="0.2">
      <c r="A21" s="27" t="s">
        <v>84</v>
      </c>
      <c r="B21" s="27">
        <v>124.4</v>
      </c>
    </row>
    <row r="22" spans="1:2" x14ac:dyDescent="0.2">
      <c r="A22" s="27" t="s">
        <v>88</v>
      </c>
      <c r="B22" s="27">
        <v>253.6</v>
      </c>
    </row>
    <row r="23" spans="1:2" x14ac:dyDescent="0.2">
      <c r="A23" s="27" t="s">
        <v>92</v>
      </c>
      <c r="B23" s="27">
        <v>1342.07</v>
      </c>
    </row>
    <row r="24" spans="1:2" x14ac:dyDescent="0.2">
      <c r="A24" s="27" t="s">
        <v>182</v>
      </c>
      <c r="B24" s="27">
        <v>434.7</v>
      </c>
    </row>
    <row r="25" spans="1:2" x14ac:dyDescent="0.2">
      <c r="A25" s="27" t="s">
        <v>101</v>
      </c>
      <c r="B25" s="27">
        <v>232.15</v>
      </c>
    </row>
    <row r="26" spans="1:2" x14ac:dyDescent="0.2">
      <c r="A26" s="13" t="s">
        <v>105</v>
      </c>
      <c r="B26" s="27">
        <v>1646.77</v>
      </c>
    </row>
    <row r="27" spans="1:2" x14ac:dyDescent="0.2">
      <c r="A27" s="27" t="s">
        <v>109</v>
      </c>
      <c r="B27" s="27">
        <v>224.96</v>
      </c>
    </row>
    <row r="28" spans="1:2" x14ac:dyDescent="0.2">
      <c r="A28" s="13" t="s">
        <v>114</v>
      </c>
      <c r="B28" s="27">
        <v>7761.73</v>
      </c>
    </row>
    <row r="29" spans="1:2" x14ac:dyDescent="0.2">
      <c r="A29" s="13" t="s">
        <v>118</v>
      </c>
      <c r="B29" s="27">
        <v>2217.42</v>
      </c>
    </row>
    <row r="30" spans="1:2" x14ac:dyDescent="0.2">
      <c r="A30" s="27" t="s">
        <v>122</v>
      </c>
      <c r="B30" s="27">
        <v>368.1</v>
      </c>
    </row>
    <row r="31" spans="1:2" x14ac:dyDescent="0.2">
      <c r="A31" s="27" t="s">
        <v>186</v>
      </c>
      <c r="B31" s="27">
        <v>112.63</v>
      </c>
    </row>
    <row r="32" spans="1:2" x14ac:dyDescent="0.2">
      <c r="A32" s="27" t="s">
        <v>188</v>
      </c>
      <c r="B32" s="27">
        <v>20.3</v>
      </c>
    </row>
    <row r="33" spans="1:2" x14ac:dyDescent="0.2">
      <c r="A33" s="27" t="s">
        <v>189</v>
      </c>
      <c r="B33" s="27">
        <v>1503.95</v>
      </c>
    </row>
    <row r="34" spans="1:2" x14ac:dyDescent="0.2">
      <c r="A34" s="27" t="s">
        <v>190</v>
      </c>
      <c r="B34" s="27">
        <v>4157.71</v>
      </c>
    </row>
    <row r="35" spans="1:2" x14ac:dyDescent="0.2">
      <c r="A35" s="27" t="s">
        <v>191</v>
      </c>
      <c r="B35" s="27">
        <v>6685.39</v>
      </c>
    </row>
    <row r="36" spans="1:2" x14ac:dyDescent="0.2">
      <c r="A36" s="27" t="s">
        <v>192</v>
      </c>
      <c r="B36" s="27">
        <v>1610.72</v>
      </c>
    </row>
    <row r="37" spans="1:2" x14ac:dyDescent="0.2">
      <c r="A37" s="13" t="s">
        <v>150</v>
      </c>
      <c r="B37" s="27">
        <v>1782.38</v>
      </c>
    </row>
    <row r="38" spans="1:2" x14ac:dyDescent="0.2">
      <c r="A38" s="13" t="s">
        <v>130</v>
      </c>
      <c r="B38" s="27">
        <v>3724.51</v>
      </c>
    </row>
    <row r="39" spans="1:2" x14ac:dyDescent="0.2">
      <c r="A39" s="13" t="s">
        <v>154</v>
      </c>
      <c r="B39" s="27">
        <v>444.7</v>
      </c>
    </row>
    <row r="40" spans="1:2" x14ac:dyDescent="0.2">
      <c r="A40" s="27" t="s">
        <v>193</v>
      </c>
      <c r="B40" s="27">
        <v>40795.68</v>
      </c>
    </row>
    <row r="42" spans="1:2" x14ac:dyDescent="0.2">
      <c r="A42" s="13" t="s">
        <v>43</v>
      </c>
      <c r="B42" s="27" t="s">
        <v>195</v>
      </c>
    </row>
  </sheetData>
  <mergeCells count="1"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9158B-1371-4076-917F-783AC57C4442}">
  <dimension ref="A1:T34"/>
  <sheetViews>
    <sheetView zoomScaleNormal="100" workbookViewId="0">
      <selection activeCell="K6" sqref="K6"/>
    </sheetView>
  </sheetViews>
  <sheetFormatPr baseColWidth="10" defaultRowHeight="12.75" x14ac:dyDescent="0.2"/>
  <cols>
    <col min="1" max="1" width="8" style="27" bestFit="1" customWidth="1"/>
    <col min="2" max="2" width="7.42578125" style="27" bestFit="1" customWidth="1"/>
    <col min="3" max="3" width="8.7109375" style="27" bestFit="1" customWidth="1"/>
    <col min="4" max="4" width="38" style="27" bestFit="1" customWidth="1"/>
    <col min="5" max="5" width="7.140625" style="27" bestFit="1" customWidth="1"/>
    <col min="6" max="6" width="6.85546875" style="27" bestFit="1" customWidth="1"/>
    <col min="7" max="7" width="9.140625" style="27" bestFit="1" customWidth="1"/>
    <col min="8" max="8" width="9.140625" style="27" customWidth="1"/>
    <col min="9" max="9" width="6.5703125" style="27" bestFit="1" customWidth="1"/>
    <col min="10" max="10" width="11.7109375" style="27" hidden="1" customWidth="1"/>
    <col min="11" max="12" width="12.7109375" style="27" bestFit="1" customWidth="1"/>
    <col min="13" max="13" width="9" style="27" bestFit="1" customWidth="1"/>
    <col min="14" max="14" width="16" style="27" customWidth="1"/>
    <col min="15" max="15" width="11.7109375" style="27" bestFit="1" customWidth="1"/>
    <col min="16" max="16" width="12.140625" style="27" bestFit="1" customWidth="1"/>
    <col min="17" max="17" width="12.140625" style="27" customWidth="1"/>
    <col min="18" max="18" width="14.140625" style="27" bestFit="1" customWidth="1"/>
    <col min="19" max="19" width="7.5703125" style="27" bestFit="1" customWidth="1"/>
    <col min="20" max="16384" width="11.42578125" style="27"/>
  </cols>
  <sheetData>
    <row r="1" spans="1:20" ht="44.25" customHeight="1" x14ac:dyDescent="0.2">
      <c r="A1" s="11" t="s">
        <v>196</v>
      </c>
      <c r="B1" s="11" t="s">
        <v>197</v>
      </c>
      <c r="C1" s="11" t="s">
        <v>0</v>
      </c>
      <c r="D1" s="12" t="s">
        <v>1</v>
      </c>
      <c r="E1" s="12" t="s">
        <v>198</v>
      </c>
      <c r="F1" s="11" t="s">
        <v>3</v>
      </c>
      <c r="G1" s="11" t="s">
        <v>2</v>
      </c>
      <c r="H1" s="38" t="s">
        <v>212</v>
      </c>
      <c r="I1" s="11" t="s">
        <v>4</v>
      </c>
      <c r="J1" s="28" t="s">
        <v>5</v>
      </c>
      <c r="K1" s="34" t="s">
        <v>202</v>
      </c>
      <c r="L1" s="32" t="s">
        <v>201</v>
      </c>
      <c r="M1" s="36" t="s">
        <v>211</v>
      </c>
      <c r="N1" s="32" t="s">
        <v>206</v>
      </c>
      <c r="O1" s="32" t="s">
        <v>207</v>
      </c>
      <c r="P1" s="32" t="s">
        <v>203</v>
      </c>
      <c r="Q1" s="37" t="s">
        <v>209</v>
      </c>
      <c r="R1" s="32" t="s">
        <v>204</v>
      </c>
      <c r="S1" s="36" t="s">
        <v>210</v>
      </c>
      <c r="T1" s="36" t="s">
        <v>208</v>
      </c>
    </row>
    <row r="2" spans="1:20" x14ac:dyDescent="0.2">
      <c r="A2" s="29">
        <v>103209</v>
      </c>
      <c r="B2" s="29">
        <v>44</v>
      </c>
      <c r="C2" s="29">
        <v>561754</v>
      </c>
      <c r="D2" s="30" t="s">
        <v>23</v>
      </c>
      <c r="E2" s="30" t="s">
        <v>199</v>
      </c>
      <c r="F2" s="31">
        <v>1</v>
      </c>
      <c r="G2" s="31">
        <v>307.33</v>
      </c>
      <c r="H2" s="31">
        <f>(P2-G2)/G2*100</f>
        <v>8.8406598770051783</v>
      </c>
      <c r="I2" s="31">
        <v>210.84</v>
      </c>
      <c r="J2" s="31">
        <v>64797.457199999997</v>
      </c>
      <c r="K2" s="31">
        <v>69649.693199999994</v>
      </c>
      <c r="L2" s="31">
        <f>VLOOKUP(D2,'Mal beregning'!B:K,10,0)</f>
        <v>74489.601666160772</v>
      </c>
      <c r="M2" s="31">
        <f>L2/$L$34*100</f>
        <v>0.1284303477002772</v>
      </c>
      <c r="N2" s="31">
        <f>L2-K2</f>
        <v>4839.9084661607776</v>
      </c>
      <c r="O2" s="31">
        <f>(L2-K2)/K2*100</f>
        <v>6.9489300581165772</v>
      </c>
      <c r="P2" s="31">
        <f>VLOOKUP(D2,'Mal beregning'!$B:$C,2,0)</f>
        <v>334.5</v>
      </c>
      <c r="Q2" s="31">
        <f>P2/$P$34*100</f>
        <v>0.13887669306569367</v>
      </c>
      <c r="R2" s="31">
        <f>VLOOKUP(D2,'Mal beregning'!$B:$D,3,0)</f>
        <v>24.8</v>
      </c>
      <c r="S2" s="31">
        <f>R2/$R$34*100</f>
        <v>6.0372655082257753E-2</v>
      </c>
      <c r="T2" s="31">
        <f>R2/P2*100</f>
        <v>7.4140508221225714</v>
      </c>
    </row>
    <row r="3" spans="1:20" x14ac:dyDescent="0.2">
      <c r="A3" s="29">
        <v>103176</v>
      </c>
      <c r="B3" s="29">
        <v>47</v>
      </c>
      <c r="C3" s="29">
        <v>125027</v>
      </c>
      <c r="D3" s="30" t="s">
        <v>30</v>
      </c>
      <c r="E3" s="30" t="s">
        <v>199</v>
      </c>
      <c r="F3" s="31">
        <v>1</v>
      </c>
      <c r="G3" s="31">
        <v>617.5</v>
      </c>
      <c r="H3" s="31">
        <f t="shared" ref="H3:H33" si="0">(P3-G3)/G3*100</f>
        <v>12.550607287449392</v>
      </c>
      <c r="I3" s="31">
        <v>210.84</v>
      </c>
      <c r="J3" s="31">
        <v>130193.7</v>
      </c>
      <c r="K3" s="31">
        <v>158046.81949999998</v>
      </c>
      <c r="L3" s="31">
        <f>VLOOKUP(D3,'Mal beregning'!B:K,10,0)</f>
        <v>174803.6013047187</v>
      </c>
      <c r="M3" s="31">
        <f t="shared" ref="M3:M33" si="1">L3/$L$34*100</f>
        <v>0.30138551949089432</v>
      </c>
      <c r="N3" s="31">
        <f t="shared" ref="N3:N33" si="2">L3-K3</f>
        <v>16756.781804718717</v>
      </c>
      <c r="O3" s="31">
        <f t="shared" ref="O3:O33" si="3">(L3-K3)/K3*100</f>
        <v>10.602416333166843</v>
      </c>
      <c r="P3" s="31">
        <f>VLOOKUP(D3,'Mal beregning'!$B:$C,2,0)</f>
        <v>695</v>
      </c>
      <c r="Q3" s="31">
        <f t="shared" ref="Q3:Q33" si="4">P3/$P$34*100</f>
        <v>0.28854798708716617</v>
      </c>
      <c r="R3" s="31">
        <f>VLOOKUP(D3,'Mal beregning'!$B:$D,3,0)</f>
        <v>158.16</v>
      </c>
      <c r="S3" s="31">
        <f t="shared" ref="S3:S33" si="5">R3/$R$34*100</f>
        <v>0.38502173902459214</v>
      </c>
      <c r="T3" s="31">
        <f t="shared" ref="T3:T33" si="6">R3/P3*100</f>
        <v>22.7568345323741</v>
      </c>
    </row>
    <row r="4" spans="1:20" x14ac:dyDescent="0.2">
      <c r="A4" s="29">
        <v>103190</v>
      </c>
      <c r="B4" s="29">
        <v>40</v>
      </c>
      <c r="C4" s="29">
        <v>125052</v>
      </c>
      <c r="D4" s="30" t="s">
        <v>200</v>
      </c>
      <c r="E4" s="30" t="s">
        <v>199</v>
      </c>
      <c r="F4" s="31">
        <v>1</v>
      </c>
      <c r="G4" s="31">
        <v>1198.44</v>
      </c>
      <c r="H4" s="31">
        <f t="shared" si="0"/>
        <v>0.10263342345048715</v>
      </c>
      <c r="I4" s="31">
        <v>210.84</v>
      </c>
      <c r="J4" s="31">
        <v>252679.08960000001</v>
      </c>
      <c r="K4" s="31">
        <v>279364.49810000003</v>
      </c>
      <c r="L4" s="31">
        <f>VLOOKUP(D4,'Mal beregning'!B:K,10,0)</f>
        <v>278503.05543074972</v>
      </c>
      <c r="M4" s="31">
        <f t="shared" si="1"/>
        <v>0.48017768177715475</v>
      </c>
      <c r="N4" s="31">
        <f t="shared" si="2"/>
        <v>-861.44266925030388</v>
      </c>
      <c r="O4" s="31">
        <f t="shared" si="3"/>
        <v>-0.30835796069618904</v>
      </c>
      <c r="P4" s="31">
        <f>VLOOKUP(D4,'Mal beregning'!$B:$C,2,0)</f>
        <v>1199.67</v>
      </c>
      <c r="Q4" s="31">
        <f t="shared" si="4"/>
        <v>0.49807534340843268</v>
      </c>
      <c r="R4" s="31">
        <f>VLOOKUP(D4,'Mal beregning'!$B:$D,3,0)</f>
        <v>149.35</v>
      </c>
      <c r="S4" s="31">
        <f t="shared" si="5"/>
        <v>0.36357484018287073</v>
      </c>
      <c r="T4" s="31">
        <f t="shared" si="6"/>
        <v>12.449256878975049</v>
      </c>
    </row>
    <row r="5" spans="1:20" x14ac:dyDescent="0.2">
      <c r="A5" s="29">
        <v>103207</v>
      </c>
      <c r="B5" s="29">
        <v>54</v>
      </c>
      <c r="C5" s="29">
        <v>561642</v>
      </c>
      <c r="D5" s="30" t="s">
        <v>39</v>
      </c>
      <c r="E5" s="30" t="s">
        <v>199</v>
      </c>
      <c r="F5" s="31">
        <v>1</v>
      </c>
      <c r="G5" s="31">
        <v>195</v>
      </c>
      <c r="H5" s="31">
        <f t="shared" si="0"/>
        <v>23.076923076923077</v>
      </c>
      <c r="I5" s="31">
        <v>210.84</v>
      </c>
      <c r="J5" s="31">
        <v>41113.800000000003</v>
      </c>
      <c r="K5" s="31">
        <v>46905.1175</v>
      </c>
      <c r="L5" s="31">
        <f>VLOOKUP(D5,'Mal beregning'!B:K,10,0)</f>
        <v>56405.801026255001</v>
      </c>
      <c r="M5" s="31">
        <f t="shared" si="1"/>
        <v>9.725138107975001E-2</v>
      </c>
      <c r="N5" s="31">
        <f t="shared" si="2"/>
        <v>9500.6835262550012</v>
      </c>
      <c r="O5" s="31">
        <f t="shared" si="3"/>
        <v>20.25511081227971</v>
      </c>
      <c r="P5" s="31">
        <f>VLOOKUP(D5,'Mal beregning'!$B:$C,2,0)</f>
        <v>240</v>
      </c>
      <c r="Q5" s="31">
        <f t="shared" si="4"/>
        <v>9.9642470361035795E-2</v>
      </c>
      <c r="R5" s="31">
        <f>VLOOKUP(D5,'Mal beregning'!$B:$D,3,0)</f>
        <v>33.549999999999997</v>
      </c>
      <c r="S5" s="31">
        <f t="shared" si="5"/>
        <v>8.1673491048780134E-2</v>
      </c>
      <c r="T5" s="31">
        <f t="shared" si="6"/>
        <v>13.979166666666664</v>
      </c>
    </row>
    <row r="6" spans="1:20" x14ac:dyDescent="0.2">
      <c r="A6" s="29">
        <v>105437</v>
      </c>
      <c r="B6" s="29">
        <v>30</v>
      </c>
      <c r="C6" s="29">
        <v>300027</v>
      </c>
      <c r="D6" s="30" t="s">
        <v>43</v>
      </c>
      <c r="E6" s="30" t="s">
        <v>199</v>
      </c>
      <c r="F6" s="31">
        <v>1</v>
      </c>
      <c r="G6" s="31">
        <v>407.33</v>
      </c>
      <c r="H6" s="31">
        <f t="shared" si="0"/>
        <v>103.76598826504309</v>
      </c>
      <c r="I6" s="31">
        <v>210.84</v>
      </c>
      <c r="J6" s="31">
        <v>85881.457200000004</v>
      </c>
      <c r="K6" s="31">
        <v>148046.00719999999</v>
      </c>
      <c r="L6" s="31">
        <f>VLOOKUP(D6,'Mal beregning'!B:K,10,0)</f>
        <v>242223.76776314768</v>
      </c>
      <c r="M6" s="31">
        <f t="shared" si="1"/>
        <v>0.41762718579853048</v>
      </c>
      <c r="N6" s="31">
        <f t="shared" si="2"/>
        <v>94177.760563147691</v>
      </c>
      <c r="O6" s="31">
        <f t="shared" si="3"/>
        <v>63.61384703602306</v>
      </c>
      <c r="P6" s="31">
        <f>VLOOKUP(D6,'Mal beregning'!$B:$C,2,0)</f>
        <v>830</v>
      </c>
      <c r="Q6" s="31">
        <f t="shared" si="4"/>
        <v>0.34459687666524885</v>
      </c>
      <c r="R6" s="31">
        <f>VLOOKUP(D6,'Mal beregning'!$B:$D,3,0)</f>
        <v>367</v>
      </c>
      <c r="S6" s="31">
        <f t="shared" si="5"/>
        <v>0.89341791996728204</v>
      </c>
      <c r="T6" s="31">
        <f t="shared" si="6"/>
        <v>44.216867469879517</v>
      </c>
    </row>
    <row r="7" spans="1:20" x14ac:dyDescent="0.2">
      <c r="A7" s="29">
        <v>103191</v>
      </c>
      <c r="B7" s="29">
        <v>49</v>
      </c>
      <c r="C7" s="29">
        <v>125054</v>
      </c>
      <c r="D7" s="30" t="s">
        <v>49</v>
      </c>
      <c r="E7" s="30" t="s">
        <v>199</v>
      </c>
      <c r="F7" s="31">
        <v>1</v>
      </c>
      <c r="G7" s="31">
        <v>14881.52</v>
      </c>
      <c r="H7" s="31">
        <f t="shared" si="0"/>
        <v>8.5850101333734727</v>
      </c>
      <c r="I7" s="31">
        <v>210.84</v>
      </c>
      <c r="J7" s="31">
        <v>3137619.6768</v>
      </c>
      <c r="K7" s="31">
        <v>3289658.2943000002</v>
      </c>
      <c r="L7" s="31">
        <f>VLOOKUP(D7,'Mal beregning'!B:K,10,0)</f>
        <v>3531110.655439287</v>
      </c>
      <c r="M7" s="31">
        <f t="shared" si="1"/>
        <v>6.0881218197229092</v>
      </c>
      <c r="N7" s="31">
        <f t="shared" si="2"/>
        <v>241452.36113928678</v>
      </c>
      <c r="O7" s="31">
        <f t="shared" si="3"/>
        <v>7.3397398616644143</v>
      </c>
      <c r="P7" s="31">
        <f>VLOOKUP(D7,'Mal beregning'!$B:$C,2,0)</f>
        <v>16159.1</v>
      </c>
      <c r="Q7" s="31">
        <f t="shared" si="4"/>
        <v>6.7088860117125577</v>
      </c>
      <c r="R7" s="31">
        <f>VLOOKUP(D7,'Mal beregning'!$B:$D,3,0)</f>
        <v>839.58</v>
      </c>
      <c r="S7" s="31">
        <f t="shared" si="5"/>
        <v>2.0438578126597564</v>
      </c>
      <c r="T7" s="31">
        <f t="shared" si="6"/>
        <v>5.1957101571250881</v>
      </c>
    </row>
    <row r="8" spans="1:20" x14ac:dyDescent="0.2">
      <c r="A8" s="29">
        <v>105569</v>
      </c>
      <c r="B8" s="29">
        <v>35</v>
      </c>
      <c r="C8" s="29">
        <v>406671</v>
      </c>
      <c r="D8" s="30" t="s">
        <v>53</v>
      </c>
      <c r="E8" s="30" t="s">
        <v>199</v>
      </c>
      <c r="F8" s="31">
        <v>1</v>
      </c>
      <c r="G8" s="31">
        <v>10491.92</v>
      </c>
      <c r="H8" s="31">
        <f t="shared" si="0"/>
        <v>8.1737184423823273</v>
      </c>
      <c r="I8" s="31">
        <v>210.84</v>
      </c>
      <c r="J8" s="31">
        <v>2212116.4128</v>
      </c>
      <c r="K8" s="31">
        <v>2412191.7888000002</v>
      </c>
      <c r="L8" s="31">
        <f>VLOOKUP(D8,'Mal beregning'!B:K,10,0)</f>
        <v>2574839.2776010698</v>
      </c>
      <c r="M8" s="31">
        <f t="shared" si="1"/>
        <v>4.4393780648294312</v>
      </c>
      <c r="N8" s="31">
        <f t="shared" si="2"/>
        <v>162647.48880106956</v>
      </c>
      <c r="O8" s="31">
        <f t="shared" si="3"/>
        <v>6.7427262440845253</v>
      </c>
      <c r="P8" s="31">
        <f>VLOOKUP(D8,'Mal beregning'!$B:$C,2,0)</f>
        <v>11349.5</v>
      </c>
      <c r="Q8" s="31">
        <f t="shared" si="4"/>
        <v>4.7120509056774003</v>
      </c>
      <c r="R8" s="31">
        <f>VLOOKUP(D8,'Mal beregning'!$B:$D,3,0)</f>
        <v>1093.8800000000001</v>
      </c>
      <c r="S8" s="31">
        <f t="shared" si="5"/>
        <v>2.6629209653782304</v>
      </c>
      <c r="T8" s="31">
        <f t="shared" si="6"/>
        <v>9.6381338384950883</v>
      </c>
    </row>
    <row r="9" spans="1:20" x14ac:dyDescent="0.2">
      <c r="A9" s="29">
        <v>103161</v>
      </c>
      <c r="B9" s="29">
        <v>49</v>
      </c>
      <c r="C9" s="29">
        <v>125010</v>
      </c>
      <c r="D9" s="30" t="s">
        <v>57</v>
      </c>
      <c r="E9" s="30" t="s">
        <v>199</v>
      </c>
      <c r="F9" s="31">
        <v>1</v>
      </c>
      <c r="G9" s="31">
        <v>1910.09</v>
      </c>
      <c r="H9" s="31">
        <f t="shared" si="0"/>
        <v>14.295137925438068</v>
      </c>
      <c r="I9" s="31">
        <v>210.84</v>
      </c>
      <c r="J9" s="31">
        <v>402723.37559999997</v>
      </c>
      <c r="K9" s="31">
        <v>443470.44309999997</v>
      </c>
      <c r="L9" s="31">
        <f>VLOOKUP(D9,'Mal beregning'!B:K,10,0)</f>
        <v>498851.94815721596</v>
      </c>
      <c r="M9" s="31">
        <f t="shared" si="1"/>
        <v>0.86008956578830331</v>
      </c>
      <c r="N9" s="31">
        <f t="shared" si="2"/>
        <v>55381.505057215982</v>
      </c>
      <c r="O9" s="31">
        <f t="shared" si="3"/>
        <v>12.488206580371305</v>
      </c>
      <c r="P9" s="31">
        <f>VLOOKUP(D9,'Mal beregning'!$B:$C,2,0)</f>
        <v>2183.14</v>
      </c>
      <c r="Q9" s="31">
        <f t="shared" si="4"/>
        <v>0.90638942809996548</v>
      </c>
      <c r="R9" s="31">
        <f>VLOOKUP(D9,'Mal beregning'!$B:$D,3,0)</f>
        <v>229.4</v>
      </c>
      <c r="S9" s="31">
        <f t="shared" si="5"/>
        <v>0.55844705951088414</v>
      </c>
      <c r="T9" s="31">
        <f t="shared" si="6"/>
        <v>10.507800690748189</v>
      </c>
    </row>
    <row r="10" spans="1:20" x14ac:dyDescent="0.2">
      <c r="A10" s="29">
        <v>103174</v>
      </c>
      <c r="B10" s="29">
        <v>46</v>
      </c>
      <c r="C10" s="29">
        <v>125024</v>
      </c>
      <c r="D10" s="30" t="s">
        <v>61</v>
      </c>
      <c r="E10" s="30" t="s">
        <v>199</v>
      </c>
      <c r="F10" s="31">
        <v>1</v>
      </c>
      <c r="G10" s="31">
        <v>5405.2</v>
      </c>
      <c r="H10" s="31">
        <f t="shared" si="0"/>
        <v>1.6506327240435184</v>
      </c>
      <c r="I10" s="31">
        <v>210.84</v>
      </c>
      <c r="J10" s="31">
        <v>1139632.368</v>
      </c>
      <c r="K10" s="31">
        <v>1249742.9805000001</v>
      </c>
      <c r="L10" s="31">
        <f>VLOOKUP(D10,'Mal beregning'!B:K,10,0)</f>
        <v>1260768.9703180916</v>
      </c>
      <c r="M10" s="31">
        <f t="shared" si="1"/>
        <v>2.1737396039967094</v>
      </c>
      <c r="N10" s="31">
        <f t="shared" si="2"/>
        <v>11025.989818091504</v>
      </c>
      <c r="O10" s="31">
        <f t="shared" si="3"/>
        <v>0.88226059198829831</v>
      </c>
      <c r="P10" s="31">
        <f>VLOOKUP(D10,'Mal beregning'!$B:$C,2,0)</f>
        <v>5494.42</v>
      </c>
      <c r="Q10" s="31">
        <f t="shared" si="4"/>
        <v>2.2811565916711762</v>
      </c>
      <c r="R10" s="31">
        <f>VLOOKUP(D10,'Mal beregning'!$B:$D,3,0)</f>
        <v>605.46</v>
      </c>
      <c r="S10" s="31">
        <f t="shared" si="5"/>
        <v>1.4739204736332168</v>
      </c>
      <c r="T10" s="31">
        <f t="shared" si="6"/>
        <v>11.019543464096301</v>
      </c>
    </row>
    <row r="11" spans="1:20" x14ac:dyDescent="0.2">
      <c r="A11" s="29">
        <v>103163</v>
      </c>
      <c r="B11" s="29">
        <v>49</v>
      </c>
      <c r="C11" s="29">
        <v>125012</v>
      </c>
      <c r="D11" s="30" t="s">
        <v>65</v>
      </c>
      <c r="E11" s="30" t="s">
        <v>199</v>
      </c>
      <c r="F11" s="31">
        <v>1</v>
      </c>
      <c r="G11" s="31">
        <v>3007.89</v>
      </c>
      <c r="H11" s="31">
        <f t="shared" si="0"/>
        <v>-1.3800371689124191</v>
      </c>
      <c r="I11" s="31">
        <v>210.84</v>
      </c>
      <c r="J11" s="31">
        <v>634183.52760000003</v>
      </c>
      <c r="K11" s="31">
        <v>700438.84510000004</v>
      </c>
      <c r="L11" s="31">
        <f>VLOOKUP(D11,'Mal beregning'!B:K,10,0)</f>
        <v>685536.26724799734</v>
      </c>
      <c r="M11" s="31">
        <f t="shared" si="1"/>
        <v>1.1819590814620644</v>
      </c>
      <c r="N11" s="31">
        <f t="shared" si="2"/>
        <v>-14902.577852002694</v>
      </c>
      <c r="O11" s="31">
        <f t="shared" si="3"/>
        <v>-2.1276058511396649</v>
      </c>
      <c r="P11" s="31">
        <f>VLOOKUP(D11,'Mal beregning'!$B:$C,2,0)</f>
        <v>2966.38</v>
      </c>
      <c r="Q11" s="31">
        <f t="shared" si="4"/>
        <v>1.2315726301232059</v>
      </c>
      <c r="R11" s="31">
        <f>VLOOKUP(D11,'Mal beregning'!$B:$D,3,0)</f>
        <v>352.75</v>
      </c>
      <c r="S11" s="31">
        <f t="shared" si="5"/>
        <v>0.85872798710751697</v>
      </c>
      <c r="T11" s="31">
        <f t="shared" si="6"/>
        <v>11.891598514013712</v>
      </c>
    </row>
    <row r="12" spans="1:20" x14ac:dyDescent="0.2">
      <c r="A12" s="29">
        <v>105568</v>
      </c>
      <c r="B12" s="29">
        <v>28</v>
      </c>
      <c r="C12" s="29">
        <v>406670</v>
      </c>
      <c r="D12" s="30" t="s">
        <v>69</v>
      </c>
      <c r="E12" s="30" t="s">
        <v>199</v>
      </c>
      <c r="F12" s="31">
        <v>1</v>
      </c>
      <c r="G12" s="31">
        <v>13098.76</v>
      </c>
      <c r="H12" s="31">
        <f t="shared" si="0"/>
        <v>2.864011555292254</v>
      </c>
      <c r="I12" s="31">
        <v>210.84</v>
      </c>
      <c r="J12" s="31">
        <v>2761742.5584</v>
      </c>
      <c r="K12" s="31">
        <v>3085937.2999</v>
      </c>
      <c r="L12" s="31">
        <f>VLOOKUP(D12,'Mal beregning'!B:K,10,0)</f>
        <v>3150485.7422049972</v>
      </c>
      <c r="M12" s="31">
        <f t="shared" si="1"/>
        <v>5.4318719693189603</v>
      </c>
      <c r="N12" s="31">
        <f t="shared" si="2"/>
        <v>64548.442304997239</v>
      </c>
      <c r="O12" s="31">
        <f t="shared" si="3"/>
        <v>2.0916964938687816</v>
      </c>
      <c r="P12" s="31">
        <f>VLOOKUP(D12,'Mal beregning'!$B:$C,2,0)</f>
        <v>13473.91</v>
      </c>
      <c r="Q12" s="31">
        <f t="shared" si="4"/>
        <v>5.5940569909261004</v>
      </c>
      <c r="R12" s="31">
        <f>VLOOKUP(D12,'Mal beregning'!$B:$D,3,0)</f>
        <v>1797.27</v>
      </c>
      <c r="S12" s="31">
        <f t="shared" si="5"/>
        <v>4.3752403951487651</v>
      </c>
      <c r="T12" s="31">
        <f t="shared" si="6"/>
        <v>13.338889750636602</v>
      </c>
    </row>
    <row r="13" spans="1:20" x14ac:dyDescent="0.2">
      <c r="A13" s="29">
        <v>104847</v>
      </c>
      <c r="B13" s="29">
        <v>44</v>
      </c>
      <c r="C13" s="29">
        <v>125072</v>
      </c>
      <c r="D13" s="30" t="s">
        <v>72</v>
      </c>
      <c r="E13" s="30" t="s">
        <v>199</v>
      </c>
      <c r="F13" s="31">
        <v>1</v>
      </c>
      <c r="G13" s="31">
        <v>8034.07</v>
      </c>
      <c r="H13" s="31">
        <f t="shared" si="0"/>
        <v>32.633273048405115</v>
      </c>
      <c r="I13" s="31">
        <v>210.84</v>
      </c>
      <c r="J13" s="31">
        <v>1693903.3188</v>
      </c>
      <c r="K13" s="31">
        <v>1780671.0482999999</v>
      </c>
      <c r="L13" s="31">
        <f>VLOOKUP(D13,'Mal beregning'!B:K,10,0)</f>
        <v>2317239.1124938191</v>
      </c>
      <c r="M13" s="31">
        <f t="shared" si="1"/>
        <v>3.9952398491272745</v>
      </c>
      <c r="N13" s="31">
        <f t="shared" si="2"/>
        <v>536568.06419381918</v>
      </c>
      <c r="O13" s="31">
        <f t="shared" si="3"/>
        <v>30.132913359043982</v>
      </c>
      <c r="P13" s="31">
        <f>VLOOKUP(D13,'Mal beregning'!$B:$C,2,0)</f>
        <v>10655.85</v>
      </c>
      <c r="Q13" s="31">
        <f t="shared" si="4"/>
        <v>4.424063407486015</v>
      </c>
      <c r="R13" s="31">
        <f>VLOOKUP(D13,'Mal beregning'!$B:$D,3,0)</f>
        <v>493.54</v>
      </c>
      <c r="S13" s="31">
        <f t="shared" si="5"/>
        <v>1.2014645237619956</v>
      </c>
      <c r="T13" s="31">
        <f t="shared" si="6"/>
        <v>4.6316342666234984</v>
      </c>
    </row>
    <row r="14" spans="1:20" x14ac:dyDescent="0.2">
      <c r="A14" s="29">
        <v>103200</v>
      </c>
      <c r="B14" s="29">
        <v>45</v>
      </c>
      <c r="C14" s="29">
        <v>125075</v>
      </c>
      <c r="D14" s="30" t="s">
        <v>76</v>
      </c>
      <c r="E14" s="30" t="s">
        <v>199</v>
      </c>
      <c r="F14" s="31">
        <v>1</v>
      </c>
      <c r="G14" s="31">
        <v>575</v>
      </c>
      <c r="H14" s="31">
        <f t="shared" si="0"/>
        <v>0</v>
      </c>
      <c r="I14" s="31">
        <v>210.84</v>
      </c>
      <c r="J14" s="31">
        <v>121233</v>
      </c>
      <c r="K14" s="31">
        <v>159478.3695</v>
      </c>
      <c r="L14" s="31">
        <f>VLOOKUP(D14,'Mal beregning'!B:K,10,0)</f>
        <v>157513.92219594371</v>
      </c>
      <c r="M14" s="31">
        <f t="shared" si="1"/>
        <v>0.27157572792404089</v>
      </c>
      <c r="N14" s="31">
        <f t="shared" si="2"/>
        <v>-1964.447304056288</v>
      </c>
      <c r="O14" s="31">
        <f t="shared" si="3"/>
        <v>-1.2317954530230433</v>
      </c>
      <c r="P14" s="31">
        <f>VLOOKUP(D14,'Mal beregning'!$B:$C,2,0)</f>
        <v>575</v>
      </c>
      <c r="Q14" s="31">
        <f t="shared" si="4"/>
        <v>0.23872675190664833</v>
      </c>
      <c r="R14" s="31">
        <f>VLOOKUP(D14,'Mal beregning'!$B:$D,3,0)</f>
        <v>199.47</v>
      </c>
      <c r="S14" s="31">
        <f t="shared" si="5"/>
        <v>0.48558602859911104</v>
      </c>
      <c r="T14" s="31">
        <f t="shared" si="6"/>
        <v>34.690434782608698</v>
      </c>
    </row>
    <row r="15" spans="1:20" x14ac:dyDescent="0.2">
      <c r="A15" s="29">
        <v>103194</v>
      </c>
      <c r="B15" s="29">
        <v>42</v>
      </c>
      <c r="C15" s="29">
        <v>125059</v>
      </c>
      <c r="D15" s="30" t="s">
        <v>80</v>
      </c>
      <c r="E15" s="30" t="s">
        <v>199</v>
      </c>
      <c r="F15" s="31">
        <v>1</v>
      </c>
      <c r="G15" s="31">
        <v>883.5</v>
      </c>
      <c r="H15" s="31">
        <f t="shared" si="0"/>
        <v>10.101867572156197</v>
      </c>
      <c r="I15" s="31">
        <v>210.84</v>
      </c>
      <c r="J15" s="31">
        <v>186277.14</v>
      </c>
      <c r="K15" s="31">
        <v>203830.59500000003</v>
      </c>
      <c r="L15" s="31">
        <f>VLOOKUP(D15,'Mal beregning'!B:K,10,0)</f>
        <v>223005.3586790527</v>
      </c>
      <c r="M15" s="31">
        <f t="shared" si="1"/>
        <v>0.38449199772250464</v>
      </c>
      <c r="N15" s="31">
        <f t="shared" si="2"/>
        <v>19174.763679052674</v>
      </c>
      <c r="O15" s="31">
        <f t="shared" si="3"/>
        <v>9.4072058608535549</v>
      </c>
      <c r="P15" s="31">
        <f>VLOOKUP(D15,'Mal beregning'!$B:$C,2,0)</f>
        <v>972.75</v>
      </c>
      <c r="Q15" s="31">
        <f t="shared" si="4"/>
        <v>0.4038633876820733</v>
      </c>
      <c r="R15" s="31">
        <f>VLOOKUP(D15,'Mal beregning'!$B:$D,3,0)</f>
        <v>106.1</v>
      </c>
      <c r="S15" s="31">
        <f t="shared" si="5"/>
        <v>0.2582878509769172</v>
      </c>
      <c r="T15" s="31">
        <f t="shared" si="6"/>
        <v>10.90722179388332</v>
      </c>
    </row>
    <row r="16" spans="1:20" x14ac:dyDescent="0.2">
      <c r="A16" s="29">
        <v>103187</v>
      </c>
      <c r="B16" s="29">
        <v>44</v>
      </c>
      <c r="C16" s="29">
        <v>125048</v>
      </c>
      <c r="D16" s="30" t="s">
        <v>84</v>
      </c>
      <c r="E16" s="30" t="s">
        <v>199</v>
      </c>
      <c r="F16" s="31">
        <v>1</v>
      </c>
      <c r="G16" s="31">
        <v>968.69</v>
      </c>
      <c r="H16" s="31">
        <f t="shared" si="0"/>
        <v>5.5280843200611089</v>
      </c>
      <c r="I16" s="31">
        <v>210.84</v>
      </c>
      <c r="J16" s="31">
        <v>204238.59960000002</v>
      </c>
      <c r="K16" s="31">
        <v>225731.66210000002</v>
      </c>
      <c r="L16" s="31">
        <f>VLOOKUP(D16,'Mal beregning'!B:K,10,0)</f>
        <v>236775.14211579945</v>
      </c>
      <c r="M16" s="31">
        <f t="shared" si="1"/>
        <v>0.40823300364793008</v>
      </c>
      <c r="N16" s="31">
        <f t="shared" si="2"/>
        <v>11043.480015799432</v>
      </c>
      <c r="O16" s="31">
        <f t="shared" si="3"/>
        <v>4.8923043905587011</v>
      </c>
      <c r="P16" s="31">
        <f>VLOOKUP(D16,'Mal beregning'!$B:$C,2,0)</f>
        <v>1022.24</v>
      </c>
      <c r="Q16" s="31">
        <f t="shared" si="4"/>
        <v>0.42441049542443854</v>
      </c>
      <c r="R16" s="31">
        <f>VLOOKUP(D16,'Mal beregning'!$B:$D,3,0)</f>
        <v>124.4</v>
      </c>
      <c r="S16" s="31">
        <f t="shared" si="5"/>
        <v>0.30283702791261546</v>
      </c>
      <c r="T16" s="31">
        <f t="shared" si="6"/>
        <v>12.169353576459541</v>
      </c>
    </row>
    <row r="17" spans="1:20" x14ac:dyDescent="0.2">
      <c r="A17" s="29">
        <v>103195</v>
      </c>
      <c r="B17" s="29">
        <v>46</v>
      </c>
      <c r="C17" s="29">
        <v>125060</v>
      </c>
      <c r="D17" s="30" t="s">
        <v>88</v>
      </c>
      <c r="E17" s="30" t="s">
        <v>199</v>
      </c>
      <c r="F17" s="31">
        <v>1</v>
      </c>
      <c r="G17" s="31">
        <v>2359.98</v>
      </c>
      <c r="H17" s="31">
        <f t="shared" si="0"/>
        <v>-4.271646369884488</v>
      </c>
      <c r="I17" s="31">
        <v>210.84</v>
      </c>
      <c r="J17" s="31">
        <v>497578.18320000003</v>
      </c>
      <c r="K17" s="31">
        <v>543294.63569999998</v>
      </c>
      <c r="L17" s="31">
        <f>VLOOKUP(D17,'Mal beregning'!B:K,10,0)</f>
        <v>519270.72496055427</v>
      </c>
      <c r="M17" s="31">
        <f t="shared" si="1"/>
        <v>0.89529435338026597</v>
      </c>
      <c r="N17" s="31">
        <f t="shared" si="2"/>
        <v>-24023.91073944571</v>
      </c>
      <c r="O17" s="31">
        <f t="shared" si="3"/>
        <v>-4.4218936026291615</v>
      </c>
      <c r="P17" s="31">
        <f>VLOOKUP(D17,'Mal beregning'!$B:$C,2,0)</f>
        <v>2259.17</v>
      </c>
      <c r="Q17" s="31">
        <f t="shared" si="4"/>
        <v>0.93795533235642192</v>
      </c>
      <c r="R17" s="31">
        <f>VLOOKUP(D17,'Mal beregning'!$B:$D,3,0)</f>
        <v>253.6</v>
      </c>
      <c r="S17" s="31">
        <f t="shared" si="5"/>
        <v>0.61735908584115173</v>
      </c>
      <c r="T17" s="31">
        <f t="shared" si="6"/>
        <v>11.225361526578345</v>
      </c>
    </row>
    <row r="18" spans="1:20" x14ac:dyDescent="0.2">
      <c r="A18" s="29">
        <v>104848</v>
      </c>
      <c r="B18" s="29">
        <v>37</v>
      </c>
      <c r="C18" s="29">
        <v>404533</v>
      </c>
      <c r="D18" s="30" t="s">
        <v>92</v>
      </c>
      <c r="E18" s="30" t="s">
        <v>199</v>
      </c>
      <c r="F18" s="31">
        <v>1</v>
      </c>
      <c r="G18" s="31">
        <v>8339.76</v>
      </c>
      <c r="H18" s="31">
        <f t="shared" si="0"/>
        <v>4.3660728845913912</v>
      </c>
      <c r="I18" s="31">
        <v>210.84</v>
      </c>
      <c r="J18" s="31">
        <v>1758354.9984000002</v>
      </c>
      <c r="K18" s="31">
        <v>2014369.0219000001</v>
      </c>
      <c r="L18" s="31">
        <f>VLOOKUP(D18,'Mal beregning'!B:K,10,0)</f>
        <v>2069171.5371541879</v>
      </c>
      <c r="M18" s="31">
        <f t="shared" si="1"/>
        <v>3.5675371330244623</v>
      </c>
      <c r="N18" s="31">
        <f t="shared" si="2"/>
        <v>54802.515254187863</v>
      </c>
      <c r="O18" s="31">
        <f t="shared" si="3"/>
        <v>2.7205797278642048</v>
      </c>
      <c r="P18" s="31">
        <f>VLOOKUP(D18,'Mal beregning'!$B:$C,2,0)</f>
        <v>8703.8799999999992</v>
      </c>
      <c r="Q18" s="31">
        <f t="shared" si="4"/>
        <v>3.6136504371917177</v>
      </c>
      <c r="R18" s="31">
        <f>VLOOKUP(D18,'Mal beregning'!$B:$D,3,0)</f>
        <v>1342.07</v>
      </c>
      <c r="S18" s="31">
        <f t="shared" si="5"/>
        <v>3.2671100486389375</v>
      </c>
      <c r="T18" s="31">
        <f t="shared" si="6"/>
        <v>15.419215338446762</v>
      </c>
    </row>
    <row r="19" spans="1:20" x14ac:dyDescent="0.2">
      <c r="A19" s="29">
        <v>103177</v>
      </c>
      <c r="B19" s="29">
        <v>46</v>
      </c>
      <c r="C19" s="29">
        <v>125029</v>
      </c>
      <c r="D19" s="30" t="s">
        <v>97</v>
      </c>
      <c r="E19" s="30" t="s">
        <v>199</v>
      </c>
      <c r="F19" s="31">
        <v>1</v>
      </c>
      <c r="G19" s="31">
        <v>3249.9</v>
      </c>
      <c r="H19" s="31">
        <f t="shared" si="0"/>
        <v>5.4807840241238157</v>
      </c>
      <c r="I19" s="31">
        <v>210.84</v>
      </c>
      <c r="J19" s="31">
        <v>685208.91600000008</v>
      </c>
      <c r="K19" s="31">
        <v>760686.88300000003</v>
      </c>
      <c r="L19" s="31">
        <f>VLOOKUP(D19,'Mal beregning'!B:K,10,0)</f>
        <v>797305.11508179072</v>
      </c>
      <c r="M19" s="31">
        <f t="shared" si="1"/>
        <v>1.3746639915203287</v>
      </c>
      <c r="N19" s="31">
        <f t="shared" si="2"/>
        <v>36618.232081790688</v>
      </c>
      <c r="O19" s="31">
        <f t="shared" si="3"/>
        <v>4.8138377169559643</v>
      </c>
      <c r="P19" s="31">
        <f>VLOOKUP(D19,'Mal beregning'!$B:$C,2,0)</f>
        <v>3428.02</v>
      </c>
      <c r="Q19" s="31">
        <f t="shared" si="4"/>
        <v>1.4232349218626583</v>
      </c>
      <c r="R19" s="31">
        <f>VLOOKUP(D19,'Mal beregning'!$B:$D,3,0)</f>
        <v>434.7</v>
      </c>
      <c r="S19" s="31">
        <f t="shared" si="5"/>
        <v>1.0582255308168322</v>
      </c>
      <c r="T19" s="31">
        <f t="shared" si="6"/>
        <v>12.680789493643561</v>
      </c>
    </row>
    <row r="20" spans="1:20" x14ac:dyDescent="0.2">
      <c r="A20" s="29">
        <v>103178</v>
      </c>
      <c r="B20" s="29">
        <v>46</v>
      </c>
      <c r="C20" s="29">
        <v>125030</v>
      </c>
      <c r="D20" s="30" t="s">
        <v>101</v>
      </c>
      <c r="E20" s="30" t="s">
        <v>199</v>
      </c>
      <c r="F20" s="31">
        <v>1</v>
      </c>
      <c r="G20" s="31">
        <v>1026.27</v>
      </c>
      <c r="H20" s="31">
        <f t="shared" si="0"/>
        <v>0.73177623822190951</v>
      </c>
      <c r="I20" s="31">
        <v>210.84</v>
      </c>
      <c r="J20" s="31">
        <v>216378.76680000001</v>
      </c>
      <c r="K20" s="31">
        <v>260048.89079999999</v>
      </c>
      <c r="L20" s="31">
        <f>VLOOKUP(D20,'Mal beregning'!B:K,10,0)</f>
        <v>259428.69047296391</v>
      </c>
      <c r="M20" s="31">
        <f t="shared" si="1"/>
        <v>0.44729084564304122</v>
      </c>
      <c r="N20" s="31">
        <f t="shared" si="2"/>
        <v>-620.2003270360874</v>
      </c>
      <c r="O20" s="31">
        <f t="shared" si="3"/>
        <v>-0.23849374059167777</v>
      </c>
      <c r="P20" s="31">
        <f>VLOOKUP(D20,'Mal beregning'!$B:$C,2,0)</f>
        <v>1033.78</v>
      </c>
      <c r="Q20" s="31">
        <f t="shared" si="4"/>
        <v>0.42920163754096496</v>
      </c>
      <c r="R20" s="31">
        <f>VLOOKUP(D20,'Mal beregning'!$B:$D,3,0)</f>
        <v>232.15</v>
      </c>
      <c r="S20" s="31">
        <f t="shared" si="5"/>
        <v>0.56514160795750557</v>
      </c>
      <c r="T20" s="31">
        <f t="shared" si="6"/>
        <v>22.456422062721277</v>
      </c>
    </row>
    <row r="21" spans="1:20" x14ac:dyDescent="0.2">
      <c r="A21" s="29">
        <v>103196</v>
      </c>
      <c r="B21" s="29">
        <v>40</v>
      </c>
      <c r="C21" s="29">
        <v>125064</v>
      </c>
      <c r="D21" s="30" t="s">
        <v>105</v>
      </c>
      <c r="E21" s="30" t="s">
        <v>199</v>
      </c>
      <c r="F21" s="31">
        <v>1</v>
      </c>
      <c r="G21" s="31">
        <v>5082.67</v>
      </c>
      <c r="H21" s="31">
        <f t="shared" si="0"/>
        <v>16.588918816291436</v>
      </c>
      <c r="I21" s="31">
        <v>210.84</v>
      </c>
      <c r="J21" s="31">
        <v>1071630.1428</v>
      </c>
      <c r="K21" s="31">
        <v>1381151.0273</v>
      </c>
      <c r="L21" s="31">
        <f>VLOOKUP(D21,'Mal beregning'!B:K,10,0)</f>
        <v>1546475.0671027149</v>
      </c>
      <c r="M21" s="31">
        <f t="shared" si="1"/>
        <v>2.6663363225908876</v>
      </c>
      <c r="N21" s="31">
        <f t="shared" si="2"/>
        <v>165324.03980271495</v>
      </c>
      <c r="O21" s="31">
        <f t="shared" si="3"/>
        <v>11.970018957731615</v>
      </c>
      <c r="P21" s="31">
        <f>VLOOKUP(D21,'Mal beregning'!$B:$C,2,0)</f>
        <v>5925.83</v>
      </c>
      <c r="Q21" s="31">
        <f t="shared" si="4"/>
        <v>2.4602680839147366</v>
      </c>
      <c r="R21" s="31">
        <f>VLOOKUP(D21,'Mal beregning'!$B:$D,3,0)</f>
        <v>1646.77</v>
      </c>
      <c r="S21" s="31">
        <f t="shared" si="5"/>
        <v>4.0088660165245802</v>
      </c>
      <c r="T21" s="31">
        <f t="shared" si="6"/>
        <v>27.789693595665081</v>
      </c>
    </row>
    <row r="22" spans="1:20" x14ac:dyDescent="0.2">
      <c r="A22" s="29">
        <v>103179</v>
      </c>
      <c r="B22" s="29">
        <v>46</v>
      </c>
      <c r="C22" s="29">
        <v>125031</v>
      </c>
      <c r="D22" s="30" t="s">
        <v>109</v>
      </c>
      <c r="E22" s="30" t="s">
        <v>199</v>
      </c>
      <c r="F22" s="31">
        <v>1</v>
      </c>
      <c r="G22" s="31">
        <v>674.5</v>
      </c>
      <c r="H22" s="31">
        <f t="shared" si="0"/>
        <v>-4.6641957005189081</v>
      </c>
      <c r="I22" s="31">
        <v>210.84</v>
      </c>
      <c r="J22" s="31">
        <v>142211.58000000002</v>
      </c>
      <c r="K22" s="31">
        <v>183357.33199999999</v>
      </c>
      <c r="L22" s="31">
        <f>VLOOKUP(D22,'Mal beregning'!B:K,10,0)</f>
        <v>176507.07966802758</v>
      </c>
      <c r="M22" s="31">
        <f t="shared" si="1"/>
        <v>0.30432255115177165</v>
      </c>
      <c r="N22" s="31">
        <f t="shared" si="2"/>
        <v>-6850.2523319724132</v>
      </c>
      <c r="O22" s="31">
        <f t="shared" si="3"/>
        <v>-3.7360122211924494</v>
      </c>
      <c r="P22" s="31">
        <f>VLOOKUP(D22,'Mal beregning'!$B:$C,2,0)</f>
        <v>643.04</v>
      </c>
      <c r="Q22" s="31">
        <f t="shared" si="4"/>
        <v>0.26697539225400191</v>
      </c>
      <c r="R22" s="31">
        <f>VLOOKUP(D22,'Mal beregning'!$B:$D,3,0)</f>
        <v>224.96</v>
      </c>
      <c r="S22" s="31">
        <f t="shared" si="5"/>
        <v>0.54763840674615738</v>
      </c>
      <c r="T22" s="31">
        <f t="shared" si="6"/>
        <v>34.98382682259269</v>
      </c>
    </row>
    <row r="23" spans="1:20" x14ac:dyDescent="0.2">
      <c r="A23" s="29">
        <v>103183</v>
      </c>
      <c r="B23" s="29">
        <v>46</v>
      </c>
      <c r="C23" s="29">
        <v>125042</v>
      </c>
      <c r="D23" s="30" t="s">
        <v>114</v>
      </c>
      <c r="E23" s="30" t="s">
        <v>199</v>
      </c>
      <c r="F23" s="31">
        <v>1</v>
      </c>
      <c r="G23" s="31">
        <v>36263.089999999997</v>
      </c>
      <c r="H23" s="31">
        <f t="shared" si="0"/>
        <v>4.1369061489244459</v>
      </c>
      <c r="I23" s="31">
        <v>210.84</v>
      </c>
      <c r="J23" s="31">
        <v>7645709.8955999995</v>
      </c>
      <c r="K23" s="31">
        <v>9081858.3816</v>
      </c>
      <c r="L23" s="31">
        <f>VLOOKUP(D23,'Mal beregning'!B:K,10,0)</f>
        <v>9341745.2871529739</v>
      </c>
      <c r="M23" s="31">
        <f t="shared" si="1"/>
        <v>16.106457391643058</v>
      </c>
      <c r="N23" s="31">
        <f t="shared" si="2"/>
        <v>259886.90555297397</v>
      </c>
      <c r="O23" s="31">
        <f t="shared" si="3"/>
        <v>2.8616049120465177</v>
      </c>
      <c r="P23" s="31">
        <f>VLOOKUP(D23,'Mal beregning'!$B:$C,2,0)</f>
        <v>37763.26</v>
      </c>
      <c r="Q23" s="31">
        <f t="shared" si="4"/>
        <v>15.678435480358704</v>
      </c>
      <c r="R23" s="31">
        <f>VLOOKUP(D23,'Mal beregning'!$B:$D,3,0)</f>
        <v>7761.73</v>
      </c>
      <c r="S23" s="31">
        <f t="shared" si="5"/>
        <v>18.895010005306951</v>
      </c>
      <c r="T23" s="31">
        <f t="shared" si="6"/>
        <v>20.553654530885307</v>
      </c>
    </row>
    <row r="24" spans="1:20" x14ac:dyDescent="0.2">
      <c r="A24" s="29">
        <v>103175</v>
      </c>
      <c r="B24" s="29">
        <v>44</v>
      </c>
      <c r="C24" s="29">
        <v>125026</v>
      </c>
      <c r="D24" s="30" t="s">
        <v>118</v>
      </c>
      <c r="E24" s="30" t="s">
        <v>199</v>
      </c>
      <c r="F24" s="31">
        <v>1</v>
      </c>
      <c r="G24" s="31">
        <v>16660.73</v>
      </c>
      <c r="H24" s="31">
        <f t="shared" si="0"/>
        <v>1.0943097931483177</v>
      </c>
      <c r="I24" s="31">
        <v>210.84</v>
      </c>
      <c r="J24" s="31">
        <v>3512748.3131999997</v>
      </c>
      <c r="K24" s="31">
        <v>3939038.4081999995</v>
      </c>
      <c r="L24" s="31">
        <f>VLOOKUP(D24,'Mal beregning'!B:K,10,0)</f>
        <v>3932765.3848359105</v>
      </c>
      <c r="M24" s="31">
        <f t="shared" si="1"/>
        <v>6.7806299738550182</v>
      </c>
      <c r="N24" s="31">
        <f t="shared" si="2"/>
        <v>-6273.0233640889637</v>
      </c>
      <c r="O24" s="31">
        <f t="shared" si="3"/>
        <v>-0.15925265798450319</v>
      </c>
      <c r="P24" s="31">
        <f>VLOOKUP(D24,'Mal beregning'!$B:$C,2,0)</f>
        <v>16843.05</v>
      </c>
      <c r="Q24" s="31">
        <f t="shared" si="4"/>
        <v>6.9928462933935176</v>
      </c>
      <c r="R24" s="31">
        <f>VLOOKUP(D24,'Mal beregning'!$B:$D,3,0)</f>
        <v>2217.42</v>
      </c>
      <c r="S24" s="31">
        <f t="shared" si="5"/>
        <v>5.3980456787298374</v>
      </c>
      <c r="T24" s="31">
        <f t="shared" si="6"/>
        <v>13.165192764968342</v>
      </c>
    </row>
    <row r="25" spans="1:20" x14ac:dyDescent="0.2">
      <c r="A25" s="29">
        <v>103197</v>
      </c>
      <c r="B25" s="29">
        <v>49</v>
      </c>
      <c r="C25" s="29">
        <v>125066</v>
      </c>
      <c r="D25" s="30" t="s">
        <v>122</v>
      </c>
      <c r="E25" s="30" t="s">
        <v>199</v>
      </c>
      <c r="F25" s="31">
        <v>1</v>
      </c>
      <c r="G25" s="31">
        <v>2235.1799999999998</v>
      </c>
      <c r="H25" s="31">
        <f t="shared" si="0"/>
        <v>-16.621480149249717</v>
      </c>
      <c r="I25" s="31">
        <v>210.84</v>
      </c>
      <c r="J25" s="31">
        <v>471265.35119999998</v>
      </c>
      <c r="K25" s="31">
        <v>552041.47619999992</v>
      </c>
      <c r="L25" s="31">
        <f>VLOOKUP(D25,'Mal beregning'!B:K,10,0)</f>
        <v>458216.89136578556</v>
      </c>
      <c r="M25" s="31">
        <f t="shared" si="1"/>
        <v>0.79002912304445783</v>
      </c>
      <c r="N25" s="31">
        <f t="shared" si="2"/>
        <v>-93824.584834214358</v>
      </c>
      <c r="O25" s="31">
        <f t="shared" si="3"/>
        <v>-16.99593035654852</v>
      </c>
      <c r="P25" s="31">
        <f>VLOOKUP(D25,'Mal beregning'!$B:$C,2,0)</f>
        <v>1863.66</v>
      </c>
      <c r="Q25" s="31">
        <f t="shared" si="4"/>
        <v>0.77374869297103344</v>
      </c>
      <c r="R25" s="31">
        <f>VLOOKUP(D25,'Mal beregning'!$B:$D,3,0)</f>
        <v>368.1</v>
      </c>
      <c r="S25" s="31">
        <f t="shared" si="5"/>
        <v>0.89609573934593056</v>
      </c>
      <c r="T25" s="31">
        <f t="shared" si="6"/>
        <v>19.751456810791666</v>
      </c>
    </row>
    <row r="26" spans="1:20" x14ac:dyDescent="0.2">
      <c r="A26" s="29">
        <v>103154</v>
      </c>
      <c r="B26" s="29">
        <v>40</v>
      </c>
      <c r="C26" s="29">
        <v>125001</v>
      </c>
      <c r="D26" s="30" t="s">
        <v>126</v>
      </c>
      <c r="E26" s="30" t="s">
        <v>199</v>
      </c>
      <c r="F26" s="31">
        <v>1</v>
      </c>
      <c r="G26" s="31">
        <v>113.19</v>
      </c>
      <c r="H26" s="31">
        <f t="shared" si="0"/>
        <v>-13.543599257884972</v>
      </c>
      <c r="I26" s="31">
        <v>210.84</v>
      </c>
      <c r="J26" s="31">
        <v>23864.979599999999</v>
      </c>
      <c r="K26" s="31">
        <v>45397.721599999997</v>
      </c>
      <c r="L26" s="31">
        <f>VLOOKUP(D26,'Mal beregning'!B:K,10,0)</f>
        <v>41590.549495948137</v>
      </c>
      <c r="M26" s="31">
        <f t="shared" si="1"/>
        <v>7.1707843958531275E-2</v>
      </c>
      <c r="N26" s="31">
        <f t="shared" si="2"/>
        <v>-3807.1721040518605</v>
      </c>
      <c r="O26" s="31">
        <f t="shared" si="3"/>
        <v>-8.3862625036492151</v>
      </c>
      <c r="P26" s="31">
        <f>VLOOKUP(D26,'Mal beregning'!$B:$C,2,0)</f>
        <v>97.86</v>
      </c>
      <c r="Q26" s="31">
        <f t="shared" si="4"/>
        <v>4.0629217289712354E-2</v>
      </c>
      <c r="R26" s="31">
        <f>VLOOKUP(D26,'Mal beregning'!$B:$D,3,0)</f>
        <v>112.63</v>
      </c>
      <c r="S26" s="31">
        <f t="shared" si="5"/>
        <v>0.2741843605610762</v>
      </c>
      <c r="T26" s="31">
        <f t="shared" si="6"/>
        <v>115.09298998569383</v>
      </c>
    </row>
    <row r="27" spans="1:20" x14ac:dyDescent="0.2">
      <c r="A27" s="29">
        <v>103182</v>
      </c>
      <c r="B27" s="29">
        <v>49</v>
      </c>
      <c r="C27" s="29">
        <v>125041</v>
      </c>
      <c r="D27" s="30" t="s">
        <v>130</v>
      </c>
      <c r="E27" s="30" t="s">
        <v>199</v>
      </c>
      <c r="F27" s="31">
        <v>1</v>
      </c>
      <c r="G27" s="31">
        <v>14101.99</v>
      </c>
      <c r="H27" s="31">
        <f t="shared" si="0"/>
        <v>5.0377287177199817</v>
      </c>
      <c r="I27" s="31">
        <v>210.84</v>
      </c>
      <c r="J27" s="31">
        <v>2973263.5715999999</v>
      </c>
      <c r="K27" s="31">
        <v>3662823.3700999999</v>
      </c>
      <c r="L27" s="31">
        <f>VLOOKUP(D27,'Mal beregning'!B:K,10,0)</f>
        <v>3792007.3434429849</v>
      </c>
      <c r="M27" s="31">
        <f t="shared" si="1"/>
        <v>6.5379436955913528</v>
      </c>
      <c r="N27" s="31">
        <f t="shared" si="2"/>
        <v>129183.97334298491</v>
      </c>
      <c r="O27" s="31">
        <f t="shared" si="3"/>
        <v>3.5268960659563011</v>
      </c>
      <c r="P27" s="31">
        <f>VLOOKUP(D27,'Mal beregning'!$B:$C,2,0)</f>
        <v>14812.41</v>
      </c>
      <c r="Q27" s="31">
        <f t="shared" si="4"/>
        <v>6.149771351668794</v>
      </c>
      <c r="R27" s="31">
        <f>VLOOKUP(D27,'Mal beregning'!$B:$D,3,0)</f>
        <v>3724.51</v>
      </c>
      <c r="S27" s="31">
        <f t="shared" si="5"/>
        <v>9.0668773217911216</v>
      </c>
      <c r="T27" s="31">
        <f t="shared" si="6"/>
        <v>25.144524084872078</v>
      </c>
    </row>
    <row r="28" spans="1:20" x14ac:dyDescent="0.2">
      <c r="A28" s="29">
        <v>103168</v>
      </c>
      <c r="B28" s="29">
        <v>49</v>
      </c>
      <c r="C28" s="29">
        <v>125017</v>
      </c>
      <c r="D28" s="30" t="s">
        <v>134</v>
      </c>
      <c r="E28" s="30" t="s">
        <v>199</v>
      </c>
      <c r="F28" s="31">
        <v>1</v>
      </c>
      <c r="G28" s="31">
        <v>10652.47</v>
      </c>
      <c r="H28" s="31">
        <f t="shared" si="0"/>
        <v>5.1502609254004099</v>
      </c>
      <c r="I28" s="31">
        <v>210.84</v>
      </c>
      <c r="J28" s="31">
        <v>2245966.7747999998</v>
      </c>
      <c r="K28" s="31">
        <v>2518141.6917999997</v>
      </c>
      <c r="L28" s="31">
        <f>VLOOKUP(D28,'Mal beregning'!B:K,10,0)</f>
        <v>2620904.7979543572</v>
      </c>
      <c r="M28" s="31">
        <f t="shared" si="1"/>
        <v>4.5188013757833749</v>
      </c>
      <c r="N28" s="31">
        <f t="shared" si="2"/>
        <v>102763.10615435755</v>
      </c>
      <c r="O28" s="31">
        <f t="shared" si="3"/>
        <v>4.0809103986877391</v>
      </c>
      <c r="P28" s="31">
        <f>VLOOKUP(D28,'Mal beregning'!$B:$C,2,0)</f>
        <v>11201.1</v>
      </c>
      <c r="Q28" s="31">
        <f t="shared" si="4"/>
        <v>4.650438644837493</v>
      </c>
      <c r="R28" s="31">
        <f>VLOOKUP(D28,'Mal beregning'!$B:$D,3,0)</f>
        <v>1503.95</v>
      </c>
      <c r="S28" s="31">
        <f t="shared" si="5"/>
        <v>3.6611876859258685</v>
      </c>
      <c r="T28" s="31">
        <f t="shared" si="6"/>
        <v>13.426806295810234</v>
      </c>
    </row>
    <row r="29" spans="1:20" x14ac:dyDescent="0.2">
      <c r="A29" s="29">
        <v>103180</v>
      </c>
      <c r="B29" s="29">
        <v>44</v>
      </c>
      <c r="C29" s="29">
        <v>125039</v>
      </c>
      <c r="D29" s="30" t="s">
        <v>138</v>
      </c>
      <c r="E29" s="30" t="s">
        <v>199</v>
      </c>
      <c r="F29" s="31">
        <v>1</v>
      </c>
      <c r="G29" s="31">
        <v>16129.09</v>
      </c>
      <c r="H29" s="31">
        <f t="shared" si="0"/>
        <v>6.3796531608416824</v>
      </c>
      <c r="I29" s="31">
        <v>210.84</v>
      </c>
      <c r="J29" s="31">
        <v>3400657.3355999999</v>
      </c>
      <c r="K29" s="31">
        <v>4168106.1030999999</v>
      </c>
      <c r="L29" s="31">
        <f>VLOOKUP(D29,'Mal beregning'!B:K,10,0)</f>
        <v>4363077.5887819491</v>
      </c>
      <c r="M29" s="31">
        <f t="shared" si="1"/>
        <v>7.5225475668654296</v>
      </c>
      <c r="N29" s="31">
        <f t="shared" si="2"/>
        <v>194971.48568194918</v>
      </c>
      <c r="O29" s="31">
        <f t="shared" si="3"/>
        <v>4.6776996760456866</v>
      </c>
      <c r="P29" s="31">
        <f>VLOOKUP(D29,'Mal beregning'!$B:$C,2,0)</f>
        <v>17158.07</v>
      </c>
      <c r="Q29" s="31">
        <f t="shared" si="4"/>
        <v>7.1236353392815737</v>
      </c>
      <c r="R29" s="31">
        <f>VLOOKUP(D29,'Mal beregning'!$B:$D,3,0)</f>
        <v>4157.71</v>
      </c>
      <c r="S29" s="31">
        <f t="shared" si="5"/>
        <v>10.121451280727978</v>
      </c>
      <c r="T29" s="31">
        <f t="shared" si="6"/>
        <v>24.23180462604477</v>
      </c>
    </row>
    <row r="30" spans="1:20" x14ac:dyDescent="0.2">
      <c r="A30" s="29">
        <v>103181</v>
      </c>
      <c r="B30" s="29">
        <v>49</v>
      </c>
      <c r="C30" s="29">
        <v>125040</v>
      </c>
      <c r="D30" s="30" t="s">
        <v>142</v>
      </c>
      <c r="E30" s="30" t="s">
        <v>199</v>
      </c>
      <c r="F30" s="31">
        <v>1</v>
      </c>
      <c r="G30" s="31">
        <v>22851.38</v>
      </c>
      <c r="H30" s="31">
        <f t="shared" si="0"/>
        <v>-0.75514038977077669</v>
      </c>
      <c r="I30" s="31">
        <v>210.84</v>
      </c>
      <c r="J30" s="31">
        <v>4817984.9592000004</v>
      </c>
      <c r="K30" s="31">
        <v>6064193.3472000007</v>
      </c>
      <c r="L30" s="31">
        <f>VLOOKUP(D30,'Mal beregning'!B:K,10,0)</f>
        <v>5990496.8957267012</v>
      </c>
      <c r="M30" s="31">
        <f t="shared" si="1"/>
        <v>10.328442923666726</v>
      </c>
      <c r="N30" s="31">
        <f t="shared" si="2"/>
        <v>-73696.451473299414</v>
      </c>
      <c r="O30" s="31">
        <f t="shared" si="3"/>
        <v>-1.2152721269569517</v>
      </c>
      <c r="P30" s="31">
        <f>VLOOKUP(D30,'Mal beregning'!$B:$C,2,0)</f>
        <v>22678.82</v>
      </c>
      <c r="Q30" s="31">
        <f t="shared" si="4"/>
        <v>9.4157235403052741</v>
      </c>
      <c r="R30" s="31">
        <f>VLOOKUP(D30,'Mal beregning'!$B:$D,3,0)</f>
        <v>6685.39</v>
      </c>
      <c r="S30" s="31">
        <f t="shared" si="5"/>
        <v>16.274788087111901</v>
      </c>
      <c r="T30" s="31">
        <f t="shared" si="6"/>
        <v>29.478561935762094</v>
      </c>
    </row>
    <row r="31" spans="1:20" x14ac:dyDescent="0.2">
      <c r="A31" s="29">
        <v>103167</v>
      </c>
      <c r="B31" s="29">
        <v>49</v>
      </c>
      <c r="C31" s="29">
        <v>125016</v>
      </c>
      <c r="D31" s="30" t="s">
        <v>146</v>
      </c>
      <c r="E31" s="30" t="s">
        <v>199</v>
      </c>
      <c r="F31" s="31">
        <v>1</v>
      </c>
      <c r="G31" s="31">
        <v>9755.5</v>
      </c>
      <c r="H31" s="31">
        <f t="shared" si="0"/>
        <v>3.8571062477576823</v>
      </c>
      <c r="I31" s="31">
        <v>210.84</v>
      </c>
      <c r="J31" s="31">
        <v>2056849.62</v>
      </c>
      <c r="K31" s="31">
        <v>2349746.6835000003</v>
      </c>
      <c r="L31" s="31">
        <f>VLOOKUP(D31,'Mal beregning'!B:K,10,0)</f>
        <v>2417734.3154680822</v>
      </c>
      <c r="M31" s="31">
        <f t="shared" si="1"/>
        <v>4.1685074404622107</v>
      </c>
      <c r="N31" s="31">
        <f t="shared" si="2"/>
        <v>67987.631968081929</v>
      </c>
      <c r="O31" s="31">
        <f t="shared" si="3"/>
        <v>2.8934026142261779</v>
      </c>
      <c r="P31" s="31">
        <f>VLOOKUP(D31,'Mal beregning'!$B:$C,2,0)</f>
        <v>10131.780000000001</v>
      </c>
      <c r="Q31" s="31">
        <f t="shared" si="4"/>
        <v>4.206481618143898</v>
      </c>
      <c r="R31" s="31">
        <f>VLOOKUP(D31,'Mal beregning'!$B:$D,3,0)</f>
        <v>1610.72</v>
      </c>
      <c r="S31" s="31">
        <f t="shared" si="5"/>
        <v>3.921106572342508</v>
      </c>
      <c r="T31" s="31">
        <f t="shared" si="6"/>
        <v>15.897700107977078</v>
      </c>
    </row>
    <row r="32" spans="1:20" x14ac:dyDescent="0.2">
      <c r="A32" s="29">
        <v>104846</v>
      </c>
      <c r="B32" s="29">
        <v>34</v>
      </c>
      <c r="C32" s="29">
        <v>404528</v>
      </c>
      <c r="D32" s="33" t="s">
        <v>150</v>
      </c>
      <c r="E32" s="30" t="s">
        <v>199</v>
      </c>
      <c r="F32" s="31">
        <v>1</v>
      </c>
      <c r="G32" s="31">
        <v>13563.98</v>
      </c>
      <c r="H32" s="31">
        <f t="shared" si="0"/>
        <v>3.9938867500541848</v>
      </c>
      <c r="I32" s="31">
        <v>210.84</v>
      </c>
      <c r="J32" s="31">
        <v>2859829.5431999997</v>
      </c>
      <c r="K32" s="31">
        <v>3189656.8841999997</v>
      </c>
      <c r="L32" s="31">
        <f>VLOOKUP(D32,'Mal beregning'!B:K,10,0)</f>
        <v>3279582.4721549777</v>
      </c>
      <c r="M32" s="31">
        <f t="shared" si="1"/>
        <v>5.6544525381982371</v>
      </c>
      <c r="N32" s="31">
        <f t="shared" si="2"/>
        <v>89925.587954977993</v>
      </c>
      <c r="O32" s="31">
        <f t="shared" si="3"/>
        <v>2.8192871904318415</v>
      </c>
      <c r="P32" s="31">
        <f>VLOOKUP(D32,'Mal beregning'!$B:$C,2,0)</f>
        <v>14105.71</v>
      </c>
      <c r="Q32" s="31">
        <f t="shared" si="4"/>
        <v>5.856365794151527</v>
      </c>
      <c r="R32" s="31">
        <f>VLOOKUP(D32,'Mal beregning'!$B:$D,3,0)</f>
        <v>1782.38</v>
      </c>
      <c r="S32" s="31">
        <f t="shared" si="5"/>
        <v>4.338992458286878</v>
      </c>
      <c r="T32" s="31">
        <f t="shared" si="6"/>
        <v>12.635875826172525</v>
      </c>
    </row>
    <row r="33" spans="1:20" x14ac:dyDescent="0.2">
      <c r="A33" s="29">
        <v>104849</v>
      </c>
      <c r="B33" s="29">
        <v>34</v>
      </c>
      <c r="C33" s="29">
        <v>404532</v>
      </c>
      <c r="D33" s="30" t="s">
        <v>154</v>
      </c>
      <c r="E33" s="30" t="s">
        <v>199</v>
      </c>
      <c r="F33" s="31">
        <v>1</v>
      </c>
      <c r="G33" s="31">
        <v>3706.58</v>
      </c>
      <c r="H33" s="31">
        <f t="shared" si="0"/>
        <v>9.5416799313653051</v>
      </c>
      <c r="I33" s="31">
        <v>210.84</v>
      </c>
      <c r="J33" s="31">
        <v>781495.32719999994</v>
      </c>
      <c r="K33" s="31">
        <v>858258.15419999999</v>
      </c>
      <c r="L33" s="31">
        <f>VLOOKUP(D33,'Mal beregning'!B:K,10,0)</f>
        <v>931168.03553577932</v>
      </c>
      <c r="M33" s="31">
        <f t="shared" si="1"/>
        <v>1.6054621302341021</v>
      </c>
      <c r="N33" s="31">
        <f t="shared" si="2"/>
        <v>72909.881335779326</v>
      </c>
      <c r="O33" s="31">
        <f t="shared" si="3"/>
        <v>8.4950991702187917</v>
      </c>
      <c r="P33" s="31">
        <f>VLOOKUP(D33,'Mal beregning'!$B:$C,2,0)</f>
        <v>4060.25</v>
      </c>
      <c r="Q33" s="31">
        <f t="shared" si="4"/>
        <v>1.6857222511808152</v>
      </c>
      <c r="R33" s="31">
        <f>VLOOKUP(D33,'Mal beregning'!$B:$D,3,0)</f>
        <v>444.7</v>
      </c>
      <c r="S33" s="31">
        <f t="shared" si="5"/>
        <v>1.0825693433500008</v>
      </c>
      <c r="T33" s="31">
        <f t="shared" si="6"/>
        <v>10.95252755372206</v>
      </c>
    </row>
    <row r="34" spans="1:20" x14ac:dyDescent="0.2">
      <c r="F34" s="31"/>
      <c r="G34" s="31"/>
      <c r="H34" s="31"/>
      <c r="I34" s="31"/>
      <c r="J34" s="31"/>
      <c r="K34" s="31">
        <f>SUM(K2:K33)</f>
        <v>55825333.4745</v>
      </c>
      <c r="L34" s="31">
        <f>SUM(L2:L33)</f>
        <v>58000000</v>
      </c>
      <c r="M34" s="31"/>
      <c r="N34" s="31">
        <f>SUM(N2:N33)</f>
        <v>2174666.5254999949</v>
      </c>
      <c r="O34" s="31"/>
      <c r="P34" s="31">
        <f>SUM(P2:P33)</f>
        <v>240861.15</v>
      </c>
      <c r="Q34" s="31"/>
      <c r="R34" s="31">
        <f>SUM(R2:R33)</f>
        <v>41078.199999999997</v>
      </c>
      <c r="S34" s="31"/>
      <c r="T34" s="31"/>
    </row>
  </sheetData>
  <autoFilter ref="A1:T33" xr:uid="{C4AE5D9A-D430-4D10-A1CA-CF9A3ADEEC3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Mal beregning</vt:lpstr>
      <vt:lpstr>Faktorer</vt:lpstr>
      <vt:lpstr>HE pr. 29.03.</vt:lpstr>
      <vt:lpstr>Årsverk pr. 29.03.</vt:lpstr>
      <vt:lpstr>Sammenligning 2020-2021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Karlsen</dc:creator>
  <cp:lastModifiedBy>Tom Karlsen</cp:lastModifiedBy>
  <cp:lastPrinted>2009-02-10T09:23:27Z</cp:lastPrinted>
  <dcterms:created xsi:type="dcterms:W3CDTF">2006-10-02T14:14:41Z</dcterms:created>
  <dcterms:modified xsi:type="dcterms:W3CDTF">2021-04-09T14:55:54Z</dcterms:modified>
</cp:coreProperties>
</file>